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 refMode="R1C1"/>
</workbook>
</file>

<file path=xl/sharedStrings.xml><?xml version="1.0" encoding="utf-8"?>
<sst xmlns="http://schemas.openxmlformats.org/spreadsheetml/2006/main" count="503" uniqueCount="186">
  <si>
    <t>ОТЧЕТ ОБ ИСПОЛНЕНИИ БЮДЖЕТА</t>
  </si>
  <si>
    <t>КОДЫ</t>
  </si>
  <si>
    <t xml:space="preserve">Форма по ОКУД </t>
  </si>
  <si>
    <t>0503117</t>
  </si>
  <si>
    <t>на 1 апреля 2017 г.</t>
  </si>
  <si>
    <t xml:space="preserve">Дата </t>
  </si>
  <si>
    <t>Наименование финансового органа</t>
  </si>
  <si>
    <t>Муниципальное учреждение "Администрация сельского поселения Сентябрьский"</t>
  </si>
  <si>
    <t xml:space="preserve">по ОКПО </t>
  </si>
  <si>
    <t xml:space="preserve">Глава по БК </t>
  </si>
  <si>
    <t>93918995</t>
  </si>
  <si>
    <t/>
  </si>
  <si>
    <t>Наименование публично-правового образования</t>
  </si>
  <si>
    <t>Бюджет сп Сентябрьский</t>
  </si>
  <si>
    <t xml:space="preserve">по ОКТМО </t>
  </si>
  <si>
    <t>71818406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</si>
  <si>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</si>
  <si>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</si>
  <si>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</si>
  <si>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</si>
  <si>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</si>
  <si>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</si>
  <si>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</si>
  <si>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</si>
  <si>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</si>
  <si>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</si>
  <si>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</si>
  <si>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</si>
  <si>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</si>
  <si>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</si>
  <si>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</si>
  <si>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</si>
  <si>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</si>
  <si>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</si>
  <si>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</si>
  <si>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</si>
  <si>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</si>
  <si>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</si>
  <si>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</si>
  <si>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</si>
  <si>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</si>
  <si>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</si>
  <si>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</si>
  <si>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</si>
  <si>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</si>
  <si>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</si>
  <si>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</si>
  <si>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</si>
  <si>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-</t>
  </si>
  <si>
    <t>182 10102010 01 1000 110</t>
  </si>
  <si>
    <t>182 10102010 01 2100 110</t>
  </si>
  <si>
    <t>182 10102010 01 3000 110</t>
  </si>
  <si>
    <t>Единый налог на вмененный доход для отдельных видов деятельности</t>
  </si>
  <si>
    <t>182 10502010 02 0000 110</t>
  </si>
  <si>
    <t>182 10502010 02 1000 110</t>
  </si>
  <si>
    <t>182 10502010 02 2100 110</t>
  </si>
  <si>
    <t>182 10502010 02 3000 110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</si>
  <si>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</si>
  <si>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</si>
  <si>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</si>
  <si>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182 10601030 10 1000 110</t>
  </si>
  <si>
    <t>182 10601030 10 2100 110</t>
  </si>
  <si>
    <t>182 10601030 10 4000 110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</si>
  <si>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</si>
  <si>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</si>
  <si>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</si>
  <si>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182 10606033 10 1000 110</t>
  </si>
  <si>
    <t>182 10606033 10 2100 110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</si>
  <si>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</si>
  <si>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</si>
  <si>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</si>
  <si>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182 10606043 10 1000 110</t>
  </si>
  <si>
    <t>182 10606043 10 2100 110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</si>
  <si>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</si>
  <si>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</si>
  <si>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650 10804020 01 1000 110</t>
  </si>
  <si>
    <t>Доходы от сдачи в аренду имущества, составляющего казну сельских поселений (за исключением земельных участков)</t>
  </si>
  <si>
    <t>650 11105075 10 0000 120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</si>
  <si>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</si>
  <si>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</si>
  <si>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Доходы от продажи квартир, находящихся в собственности сельских поселений</t>
  </si>
  <si>
    <t>650 11401050 10 0000 410</t>
  </si>
  <si>
    <t>Дотации бюджетам сельских поселений на выравнивание бюджетной обеспеченности</t>
  </si>
  <si>
    <t>650 20215001 10 0000 151</t>
  </si>
  <si>
    <t>Дотации бюджетам сельских поселений на поддержку мер по обеспечению сбалансированности бюджетов</t>
  </si>
  <si>
    <t>650 20215002 10 0000 151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</si>
  <si>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</si>
  <si>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650 20235118 10 0000 151</t>
  </si>
  <si>
    <t>Прочие межбюджетные трансферты, передаваемые бюджетам сельских поселений</t>
  </si>
  <si>
    <t>650 20249999 10 0000 151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</si>
  <si>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</si>
  <si>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</si>
  <si>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</si>
  <si>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</si>
  <si>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</si>
  <si>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</si>
  <si>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</si>
  <si>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650 0102 5010002030 121</t>
  </si>
  <si>
    <t>211</t>
  </si>
  <si>
    <t>Начисления на выплаты по оплате труда</t>
  </si>
  <si>
    <t>650 0102 5010002030 129</t>
  </si>
  <si>
    <t>213</t>
  </si>
  <si>
    <t>Прочие выплаты</t>
  </si>
  <si>
    <t>650 0104 2000102040 122</t>
  </si>
  <si>
    <t>212</t>
  </si>
  <si>
    <t>650 0104 5010002040 121</t>
  </si>
  <si>
    <t>650 0104 5010002040 122</t>
  </si>
  <si>
    <t>650 0104 5010002040 129</t>
  </si>
  <si>
    <t>Прочие расходы</t>
  </si>
  <si>
    <t>650 0111 5000020940 870</t>
  </si>
  <si>
    <t>290</t>
  </si>
  <si>
    <t>Увеличение стоимости основных средств</t>
  </si>
  <si>
    <t>650 0113 1600120964 412</t>
  </si>
  <si>
    <t>310</t>
  </si>
  <si>
    <t>Прочие работы, услуги</t>
  </si>
  <si>
    <t>650 0113 2000199990 244</t>
  </si>
  <si>
    <t>226</t>
  </si>
  <si>
    <t>650 0113 5020000600 111</t>
  </si>
  <si>
    <t>650 0113 5020000600 112</t>
  </si>
  <si>
    <t>650 0113 5020000600 119</t>
  </si>
  <si>
    <t>Услуги связи</t>
  </si>
  <si>
    <t>650 0113 5020000600 244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</si>
  <si>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</si>
  <si>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</si>
  <si>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</si>
  <si>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</si>
  <si>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</si>
  <si>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Увеличение стоимости материальных запасов</t>
  </si>
  <si>
    <t>340</t>
  </si>
  <si>
    <t>650 0113 5020000600 852</t>
  </si>
  <si>
    <t>650 0113 5020000600 853</t>
  </si>
  <si>
    <t>650 0113 5030009200 853</t>
  </si>
  <si>
    <t>Арендная плата за пользование имуществом</t>
  </si>
  <si>
    <t>650 0113 5030009300 244</t>
  </si>
  <si>
    <t>224</t>
  </si>
  <si>
    <t>650 0113 5030009300 851</t>
  </si>
  <si>
    <t>650 0113 5030009300 852</t>
  </si>
  <si>
    <t>650 0113 5030009300 853</t>
  </si>
  <si>
    <t>650 0203 5000051180 121</t>
  </si>
  <si>
    <t>650 0203 5000051180 129</t>
  </si>
  <si>
    <t>650 0309 5030003090 244</t>
  </si>
  <si>
    <t>650 0314 1000182300 123</t>
  </si>
  <si>
    <t>650 0314 10001S2300 123</t>
  </si>
  <si>
    <t>650 0314 2100199990 244</t>
  </si>
  <si>
    <t>650 0409 1500399990 244</t>
  </si>
  <si>
    <t>650 0409 1500482390 244</t>
  </si>
  <si>
    <t>650 0409 15004S2390 244</t>
  </si>
  <si>
    <t>650 0410 0400199990 242</t>
  </si>
  <si>
    <t>650 0410 0400420070 242</t>
  </si>
  <si>
    <t>650 0501 0820220672 412</t>
  </si>
  <si>
    <t>650 0501 1600199990 244</t>
  </si>
  <si>
    <t>650 0503 0900199990 244</t>
  </si>
  <si>
    <t>650 0503 0920320616 244</t>
  </si>
  <si>
    <t>650 0707 0100199990 244</t>
  </si>
  <si>
    <t>Перечисления другим бюджетам бюджетной системы Российской Федерации</t>
  </si>
  <si>
    <t>650 1403 5030089020 540</t>
  </si>
  <si>
    <t>251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</si>
  <si>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</si>
  <si>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</si>
  <si>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</si>
  <si>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</si>
  <si>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</si>
  <si>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</si>
  <si>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</si>
  <si>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</si>
  <si>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</si>
  <si>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</si>
  <si>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</si>
  <si>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</si>
  <si>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</si>
  <si>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</si>
  <si>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</si>
  <si>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</si>
  <si>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</si>
  <si>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</si>
  <si>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</si>
  <si>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</si>
  <si>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(подпись)</t>
  </si>
  <si>
    <t>(расшифровка подписи)</t>
  </si>
  <si>
    <t>Начальник отдела-главный бухгалтер</t>
  </si>
  <si>
    <t>Шабалина О. В.</t>
  </si>
  <si>
    <t>Исполнитель:</t>
  </si>
  <si>
    <t>(должность)</t>
  </si>
  <si>
    <t xml:space="preserve">   3 апреля 2017 г.   </t>
  </si>
  <si>
    <t>И.О. главы поселения</t>
  </si>
  <si>
    <t>Надточий М.А.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</si>
</sst>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8" fillId="33" borderId="14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8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left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33" borderId="30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center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4" fontId="5" fillId="33" borderId="27" xfId="0" applyNumberFormat="1" applyFont="1" applyFill="1" applyBorder="1" applyAlignment="1">
      <alignment horizontal="right" vertical="center" wrapText="1"/>
    </xf>
    <xf numFmtId="0" fontId="7" fillId="33" borderId="39" xfId="0" applyNumberFormat="1" applyFont="1" applyFill="1" applyBorder="1" applyAlignment="1">
      <alignment horizont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6" fillId="33" borderId="41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26"/>
  <sheetViews>
    <sheetView tabSelected="1" view="pageBreakPreview" zoomScaleSheetLayoutView="100" zoomScalePageLayoutView="0" workbookViewId="0" topLeftCell="A94">
      <selection activeCell="P117" sqref="P117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3.7109375" style="1" customWidth="1"/>
    <col min="14" max="14" width="2.7109375" style="1" customWidth="1"/>
    <col min="15" max="15" width="1.7109375" style="1" customWidth="1"/>
    <col min="16" max="16" width="2.7109375" style="1" customWidth="1"/>
    <col min="17" max="17" width="17.7109375" style="1" customWidth="1"/>
    <col min="18" max="18" width="4.7109375" style="1" customWidth="1"/>
    <col min="19" max="20" width="2.7109375" style="1" customWidth="1"/>
    <col min="21" max="21" width="12.7109375" style="1" customWidth="1"/>
    <col min="22" max="22" width="1.7109375" style="1" customWidth="1"/>
    <col min="23" max="23" width="6.7109375" style="1" customWidth="1"/>
    <col min="24" max="24" width="3.7109375" style="1" customWidth="1"/>
    <col min="25" max="25" width="1.7109375" style="1" customWidth="1"/>
    <col min="26" max="26" width="4.7109375" style="1" customWidth="1"/>
    <col min="27" max="27" width="1.7109375" style="1" customWidth="1"/>
    <col min="28" max="28" width="3.7109375" style="1" customWidth="1"/>
    <col min="29" max="29" width="12.7109375" style="1" customWidth="1"/>
  </cols>
  <sheetData>
    <row r="1" spans="1:29" s="1" customFormat="1" ht="13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2" t="s">
        <v>1</v>
      </c>
    </row>
    <row r="2" spans="1:29" s="1" customFormat="1" ht="13.5" customHeight="1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3" t="s">
        <v>3</v>
      </c>
    </row>
    <row r="3" spans="1:29" s="1" customFormat="1" ht="13.5" customHeight="1">
      <c r="A3" s="59" t="s">
        <v>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10" t="s">
        <v>5</v>
      </c>
      <c r="AA3" s="10"/>
      <c r="AB3" s="10"/>
      <c r="AC3" s="4">
        <v>42826</v>
      </c>
    </row>
    <row r="4" spans="1:29" s="1" customFormat="1" ht="13.5" customHeight="1">
      <c r="A4" s="8" t="s">
        <v>6</v>
      </c>
      <c r="B4" s="8"/>
      <c r="C4" s="8"/>
      <c r="D4" s="8"/>
      <c r="E4" s="8"/>
      <c r="F4" s="58" t="s">
        <v>7</v>
      </c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10" t="s">
        <v>8</v>
      </c>
      <c r="Z4" s="10"/>
      <c r="AA4" s="10"/>
      <c r="AB4" s="10"/>
      <c r="AC4" s="6" t="s">
        <v>10</v>
      </c>
    </row>
    <row r="5" spans="1:29" s="1" customFormat="1" ht="13.5" customHeight="1">
      <c r="A5" s="8"/>
      <c r="B5" s="8"/>
      <c r="C5" s="8"/>
      <c r="D5" s="8"/>
      <c r="E5" s="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10" t="s">
        <v>9</v>
      </c>
      <c r="Z5" s="10"/>
      <c r="AA5" s="10"/>
      <c r="AB5" s="10"/>
      <c r="AC5" s="6" t="s">
        <v>11</v>
      </c>
    </row>
    <row r="6" spans="1:29" s="1" customFormat="1" ht="13.5" customHeight="1">
      <c r="A6" s="8" t="s">
        <v>12</v>
      </c>
      <c r="B6" s="8"/>
      <c r="C6" s="8"/>
      <c r="D6" s="8"/>
      <c r="E6" s="8"/>
      <c r="F6" s="8"/>
      <c r="G6" s="58" t="s">
        <v>13</v>
      </c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10" t="s">
        <v>14</v>
      </c>
      <c r="Z6" s="10"/>
      <c r="AA6" s="10"/>
      <c r="AB6" s="10"/>
      <c r="AC6" s="6" t="s">
        <v>15</v>
      </c>
    </row>
    <row r="7" spans="1:29" s="1" customFormat="1" ht="13.5" customHeight="1">
      <c r="A7" s="5" t="s">
        <v>16</v>
      </c>
      <c r="B7" s="8" t="s">
        <v>17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6" t="s">
        <v>11</v>
      </c>
    </row>
    <row r="8" spans="1:29" s="1" customFormat="1" ht="13.5" customHeight="1">
      <c r="A8" s="8" t="s">
        <v>18</v>
      </c>
      <c r="B8" s="8"/>
      <c r="C8" s="8"/>
      <c r="D8" s="8"/>
      <c r="E8" s="8" t="s">
        <v>19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10" t="s">
        <v>20</v>
      </c>
      <c r="Y8" s="10"/>
      <c r="Z8" s="10"/>
      <c r="AA8" s="10"/>
      <c r="AB8" s="10"/>
      <c r="AC8" s="7" t="s">
        <v>21</v>
      </c>
    </row>
    <row r="9" spans="1:29" s="1" customFormat="1" ht="13.5" customHeight="1">
      <c r="A9" s="44" t="s">
        <v>22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</row>
    <row r="10" spans="1:29" s="1" customFormat="1" ht="34.5" customHeight="1">
      <c r="A10" s="45" t="s">
        <v>23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 t="s">
        <v>24</v>
      </c>
      <c r="N10" s="45"/>
      <c r="O10" s="45"/>
      <c r="P10" s="45" t="s">
        <v>25</v>
      </c>
      <c r="Q10" s="45"/>
      <c r="R10" s="45"/>
      <c r="S10" s="46" t="s">
        <v>26</v>
      </c>
      <c r="T10" s="46"/>
      <c r="U10" s="46"/>
      <c r="V10" s="46" t="s">
        <v>27</v>
      </c>
      <c r="W10" s="46"/>
      <c r="X10" s="46"/>
      <c r="Y10" s="46"/>
      <c r="Z10" s="46"/>
      <c r="AA10" s="47" t="s">
        <v>28</v>
      </c>
      <c r="AB10" s="47"/>
      <c r="AC10" s="47"/>
    </row>
    <row r="11" spans="1:29" s="1" customFormat="1" ht="12.75" customHeight="1">
      <c r="A11" s="42" t="s">
        <v>29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 t="s">
        <v>30</v>
      </c>
      <c r="N11" s="42"/>
      <c r="O11" s="42"/>
      <c r="P11" s="42" t="s">
        <v>31</v>
      </c>
      <c r="Q11" s="42"/>
      <c r="R11" s="42"/>
      <c r="S11" s="43" t="s">
        <v>32</v>
      </c>
      <c r="T11" s="43"/>
      <c r="U11" s="43"/>
      <c r="V11" s="43" t="s">
        <v>33</v>
      </c>
      <c r="W11" s="43"/>
      <c r="X11" s="43"/>
      <c r="Y11" s="43"/>
      <c r="Z11" s="43"/>
      <c r="AA11" s="35" t="s">
        <v>34</v>
      </c>
      <c r="AB11" s="35"/>
      <c r="AC11" s="35"/>
    </row>
    <row r="12" spans="1:29" s="1" customFormat="1" ht="13.5" customHeight="1">
      <c r="A12" s="36" t="s">
        <v>35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7" t="s">
        <v>36</v>
      </c>
      <c r="N12" s="37"/>
      <c r="O12" s="37"/>
      <c r="P12" s="37" t="s">
        <v>37</v>
      </c>
      <c r="Q12" s="37"/>
      <c r="R12" s="37"/>
      <c r="S12" s="39">
        <f>39302198</f>
        <v>39302198</v>
      </c>
      <c r="T12" s="39"/>
      <c r="U12" s="39"/>
      <c r="V12" s="39">
        <f>20414150.66</f>
        <v>20414150.66</v>
      </c>
      <c r="W12" s="39"/>
      <c r="X12" s="39"/>
      <c r="Y12" s="39"/>
      <c r="Z12" s="39"/>
      <c r="AA12" s="54">
        <f>18888047.34</f>
        <v>18888047.34</v>
      </c>
      <c r="AB12" s="54"/>
      <c r="AC12" s="54"/>
    </row>
    <row r="13" spans="1:29" s="1" customFormat="1" ht="45" customHeight="1">
      <c r="A13" s="27" t="s">
        <v>38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9" t="s">
        <v>36</v>
      </c>
      <c r="N13" s="29"/>
      <c r="O13" s="29"/>
      <c r="P13" s="29" t="s">
        <v>39</v>
      </c>
      <c r="Q13" s="29"/>
      <c r="R13" s="29"/>
      <c r="S13" s="56">
        <f>219240</f>
        <v>219240</v>
      </c>
      <c r="T13" s="56"/>
      <c r="U13" s="56"/>
      <c r="V13" s="56">
        <f>34143.08</f>
        <v>34143.08</v>
      </c>
      <c r="W13" s="56"/>
      <c r="X13" s="56"/>
      <c r="Y13" s="56"/>
      <c r="Z13" s="56"/>
      <c r="AA13" s="57">
        <f>185096.92</f>
        <v>185096.92</v>
      </c>
      <c r="AB13" s="57"/>
      <c r="AC13" s="57"/>
    </row>
    <row r="14" spans="1:29" s="1" customFormat="1" ht="54.75" customHeight="1">
      <c r="A14" s="27" t="s">
        <v>40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9" t="s">
        <v>36</v>
      </c>
      <c r="N14" s="29"/>
      <c r="O14" s="29"/>
      <c r="P14" s="29" t="s">
        <v>41</v>
      </c>
      <c r="Q14" s="29"/>
      <c r="R14" s="29"/>
      <c r="S14" s="56">
        <f>3410</f>
        <v>3410</v>
      </c>
      <c r="T14" s="56"/>
      <c r="U14" s="56"/>
      <c r="V14" s="56">
        <f>341.25</f>
        <v>341.25</v>
      </c>
      <c r="W14" s="56"/>
      <c r="X14" s="56"/>
      <c r="Y14" s="56"/>
      <c r="Z14" s="56"/>
      <c r="AA14" s="57">
        <f>3068.75</f>
        <v>3068.75</v>
      </c>
      <c r="AB14" s="57"/>
      <c r="AC14" s="57"/>
    </row>
    <row r="15" spans="1:29" s="1" customFormat="1" ht="45" customHeight="1">
      <c r="A15" s="27" t="s">
        <v>42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9" t="s">
        <v>36</v>
      </c>
      <c r="N15" s="29"/>
      <c r="O15" s="29"/>
      <c r="P15" s="29" t="s">
        <v>43</v>
      </c>
      <c r="Q15" s="29"/>
      <c r="R15" s="29"/>
      <c r="S15" s="56">
        <f>250908</f>
        <v>250908</v>
      </c>
      <c r="T15" s="56"/>
      <c r="U15" s="56"/>
      <c r="V15" s="56">
        <f>63583.96</f>
        <v>63583.96</v>
      </c>
      <c r="W15" s="56"/>
      <c r="X15" s="56"/>
      <c r="Y15" s="56"/>
      <c r="Z15" s="56"/>
      <c r="AA15" s="57">
        <f>187324.04</f>
        <v>187324.04</v>
      </c>
      <c r="AB15" s="57"/>
      <c r="AC15" s="57"/>
    </row>
    <row r="16" spans="1:29" s="1" customFormat="1" ht="45" customHeight="1">
      <c r="A16" s="27" t="s">
        <v>44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9" t="s">
        <v>36</v>
      </c>
      <c r="N16" s="29"/>
      <c r="O16" s="29"/>
      <c r="P16" s="29" t="s">
        <v>45</v>
      </c>
      <c r="Q16" s="29"/>
      <c r="R16" s="29"/>
      <c r="S16" s="56">
        <f>13642</f>
        <v>13642</v>
      </c>
      <c r="T16" s="56"/>
      <c r="U16" s="56"/>
      <c r="V16" s="56">
        <f>-6262.64</f>
        <v>-6262.64</v>
      </c>
      <c r="W16" s="56"/>
      <c r="X16" s="56"/>
      <c r="Y16" s="56"/>
      <c r="Z16" s="56"/>
      <c r="AA16" s="57">
        <f>19904.64</f>
        <v>19904.64</v>
      </c>
      <c r="AB16" s="57"/>
      <c r="AC16" s="57"/>
    </row>
    <row r="17" spans="1:29" s="1" customFormat="1" ht="45" customHeight="1">
      <c r="A17" s="27" t="s">
        <v>46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9" t="s">
        <v>36</v>
      </c>
      <c r="N17" s="29"/>
      <c r="O17" s="29"/>
      <c r="P17" s="29" t="s">
        <v>47</v>
      </c>
      <c r="Q17" s="29"/>
      <c r="R17" s="29"/>
      <c r="S17" s="56">
        <f>10655000</f>
        <v>10655000</v>
      </c>
      <c r="T17" s="56"/>
      <c r="U17" s="56"/>
      <c r="V17" s="31" t="s">
        <v>48</v>
      </c>
      <c r="W17" s="31"/>
      <c r="X17" s="31"/>
      <c r="Y17" s="31"/>
      <c r="Z17" s="31"/>
      <c r="AA17" s="57">
        <f>10655000</f>
        <v>10655000</v>
      </c>
      <c r="AB17" s="57"/>
      <c r="AC17" s="57"/>
    </row>
    <row r="18" spans="1:29" s="1" customFormat="1" ht="45" customHeight="1">
      <c r="A18" s="27" t="s">
        <v>46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9" t="s">
        <v>36</v>
      </c>
      <c r="N18" s="29"/>
      <c r="O18" s="29"/>
      <c r="P18" s="29" t="s">
        <v>49</v>
      </c>
      <c r="Q18" s="29"/>
      <c r="R18" s="29"/>
      <c r="S18" s="31" t="s">
        <v>48</v>
      </c>
      <c r="T18" s="31"/>
      <c r="U18" s="31"/>
      <c r="V18" s="56">
        <f>2826099.62</f>
        <v>2826099.62</v>
      </c>
      <c r="W18" s="56"/>
      <c r="X18" s="56"/>
      <c r="Y18" s="56"/>
      <c r="Z18" s="56"/>
      <c r="AA18" s="57">
        <f>0</f>
        <v>0</v>
      </c>
      <c r="AB18" s="57"/>
      <c r="AC18" s="57"/>
    </row>
    <row r="19" spans="1:29" s="1" customFormat="1" ht="45" customHeight="1">
      <c r="A19" s="27" t="s">
        <v>46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9" t="s">
        <v>36</v>
      </c>
      <c r="N19" s="29"/>
      <c r="O19" s="29"/>
      <c r="P19" s="29" t="s">
        <v>50</v>
      </c>
      <c r="Q19" s="29"/>
      <c r="R19" s="29"/>
      <c r="S19" s="31" t="s">
        <v>48</v>
      </c>
      <c r="T19" s="31"/>
      <c r="U19" s="31"/>
      <c r="V19" s="56">
        <f>2448.37</f>
        <v>2448.37</v>
      </c>
      <c r="W19" s="56"/>
      <c r="X19" s="56"/>
      <c r="Y19" s="56"/>
      <c r="Z19" s="56"/>
      <c r="AA19" s="57">
        <f>0</f>
        <v>0</v>
      </c>
      <c r="AB19" s="57"/>
      <c r="AC19" s="57"/>
    </row>
    <row r="20" spans="1:29" s="1" customFormat="1" ht="45" customHeight="1">
      <c r="A20" s="27" t="s">
        <v>46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9" t="s">
        <v>36</v>
      </c>
      <c r="N20" s="29"/>
      <c r="O20" s="29"/>
      <c r="P20" s="29" t="s">
        <v>51</v>
      </c>
      <c r="Q20" s="29"/>
      <c r="R20" s="29"/>
      <c r="S20" s="31" t="s">
        <v>48</v>
      </c>
      <c r="T20" s="31"/>
      <c r="U20" s="31"/>
      <c r="V20" s="56">
        <f>4434.29</f>
        <v>4434.29</v>
      </c>
      <c r="W20" s="56"/>
      <c r="X20" s="56"/>
      <c r="Y20" s="56"/>
      <c r="Z20" s="56"/>
      <c r="AA20" s="57">
        <f>0</f>
        <v>0</v>
      </c>
      <c r="AB20" s="57"/>
      <c r="AC20" s="57"/>
    </row>
    <row r="21" spans="1:29" s="1" customFormat="1" ht="13.5" customHeight="1">
      <c r="A21" s="27" t="s">
        <v>52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9" t="s">
        <v>36</v>
      </c>
      <c r="N21" s="29"/>
      <c r="O21" s="29"/>
      <c r="P21" s="29" t="s">
        <v>53</v>
      </c>
      <c r="Q21" s="29"/>
      <c r="R21" s="29"/>
      <c r="S21" s="56">
        <f>113000</f>
        <v>113000</v>
      </c>
      <c r="T21" s="56"/>
      <c r="U21" s="56"/>
      <c r="V21" s="31" t="s">
        <v>48</v>
      </c>
      <c r="W21" s="31"/>
      <c r="X21" s="31"/>
      <c r="Y21" s="31"/>
      <c r="Z21" s="31"/>
      <c r="AA21" s="57">
        <f>113000</f>
        <v>113000</v>
      </c>
      <c r="AB21" s="57"/>
      <c r="AC21" s="57"/>
    </row>
    <row r="22" spans="1:29" s="1" customFormat="1" ht="13.5" customHeight="1">
      <c r="A22" s="27" t="s">
        <v>52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9" t="s">
        <v>36</v>
      </c>
      <c r="N22" s="29"/>
      <c r="O22" s="29"/>
      <c r="P22" s="29" t="s">
        <v>54</v>
      </c>
      <c r="Q22" s="29"/>
      <c r="R22" s="29"/>
      <c r="S22" s="31" t="s">
        <v>48</v>
      </c>
      <c r="T22" s="31"/>
      <c r="U22" s="31"/>
      <c r="V22" s="56">
        <f>18775.5</f>
        <v>18775.5</v>
      </c>
      <c r="W22" s="56"/>
      <c r="X22" s="56"/>
      <c r="Y22" s="56"/>
      <c r="Z22" s="56"/>
      <c r="AA22" s="57">
        <f>0</f>
        <v>0</v>
      </c>
      <c r="AB22" s="57"/>
      <c r="AC22" s="57"/>
    </row>
    <row r="23" spans="1:29" s="1" customFormat="1" ht="13.5" customHeight="1">
      <c r="A23" s="27" t="s">
        <v>52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9" t="s">
        <v>36</v>
      </c>
      <c r="N23" s="29"/>
      <c r="O23" s="29"/>
      <c r="P23" s="29" t="s">
        <v>55</v>
      </c>
      <c r="Q23" s="29"/>
      <c r="R23" s="29"/>
      <c r="S23" s="31" t="s">
        <v>48</v>
      </c>
      <c r="T23" s="31"/>
      <c r="U23" s="31"/>
      <c r="V23" s="56">
        <f>57.98</f>
        <v>57.98</v>
      </c>
      <c r="W23" s="56"/>
      <c r="X23" s="56"/>
      <c r="Y23" s="56"/>
      <c r="Z23" s="56"/>
      <c r="AA23" s="57">
        <f>0</f>
        <v>0</v>
      </c>
      <c r="AB23" s="57"/>
      <c r="AC23" s="57"/>
    </row>
    <row r="24" spans="1:29" s="1" customFormat="1" ht="13.5" customHeight="1">
      <c r="A24" s="27" t="s">
        <v>52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9" t="s">
        <v>36</v>
      </c>
      <c r="N24" s="29"/>
      <c r="O24" s="29"/>
      <c r="P24" s="29" t="s">
        <v>56</v>
      </c>
      <c r="Q24" s="29"/>
      <c r="R24" s="29"/>
      <c r="S24" s="31" t="s">
        <v>48</v>
      </c>
      <c r="T24" s="31"/>
      <c r="U24" s="31"/>
      <c r="V24" s="56">
        <f>500</f>
        <v>500</v>
      </c>
      <c r="W24" s="56"/>
      <c r="X24" s="56"/>
      <c r="Y24" s="56"/>
      <c r="Z24" s="56"/>
      <c r="AA24" s="57">
        <f>0</f>
        <v>0</v>
      </c>
      <c r="AB24" s="57"/>
      <c r="AC24" s="57"/>
    </row>
    <row r="25" spans="1:29" s="1" customFormat="1" ht="24" customHeight="1">
      <c r="A25" s="27" t="s">
        <v>57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9" t="s">
        <v>36</v>
      </c>
      <c r="N25" s="29"/>
      <c r="O25" s="29"/>
      <c r="P25" s="29" t="s">
        <v>58</v>
      </c>
      <c r="Q25" s="29"/>
      <c r="R25" s="29"/>
      <c r="S25" s="56">
        <f>300000</f>
        <v>300000</v>
      </c>
      <c r="T25" s="56"/>
      <c r="U25" s="56"/>
      <c r="V25" s="31" t="s">
        <v>48</v>
      </c>
      <c r="W25" s="31"/>
      <c r="X25" s="31"/>
      <c r="Y25" s="31"/>
      <c r="Z25" s="31"/>
      <c r="AA25" s="57">
        <f>300000</f>
        <v>300000</v>
      </c>
      <c r="AB25" s="57"/>
      <c r="AC25" s="57"/>
    </row>
    <row r="26" spans="1:29" s="1" customFormat="1" ht="33.75" customHeight="1">
      <c r="A26" s="27" t="s">
        <v>59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9" t="s">
        <v>36</v>
      </c>
      <c r="N26" s="29"/>
      <c r="O26" s="29"/>
      <c r="P26" s="29" t="s">
        <v>60</v>
      </c>
      <c r="Q26" s="29"/>
      <c r="R26" s="29"/>
      <c r="S26" s="31" t="s">
        <v>48</v>
      </c>
      <c r="T26" s="31"/>
      <c r="U26" s="31"/>
      <c r="V26" s="56">
        <f>31261.48</f>
        <v>31261.48</v>
      </c>
      <c r="W26" s="56"/>
      <c r="X26" s="56"/>
      <c r="Y26" s="56"/>
      <c r="Z26" s="56"/>
      <c r="AA26" s="57">
        <f>0</f>
        <v>0</v>
      </c>
      <c r="AB26" s="57"/>
      <c r="AC26" s="57"/>
    </row>
    <row r="27" spans="1:29" s="1" customFormat="1" ht="33.75" customHeight="1">
      <c r="A27" s="27" t="s">
        <v>59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9" t="s">
        <v>36</v>
      </c>
      <c r="N27" s="29"/>
      <c r="O27" s="29"/>
      <c r="P27" s="29" t="s">
        <v>61</v>
      </c>
      <c r="Q27" s="29"/>
      <c r="R27" s="29"/>
      <c r="S27" s="31" t="s">
        <v>48</v>
      </c>
      <c r="T27" s="31"/>
      <c r="U27" s="31"/>
      <c r="V27" s="56">
        <f>4249.04</f>
        <v>4249.04</v>
      </c>
      <c r="W27" s="56"/>
      <c r="X27" s="56"/>
      <c r="Y27" s="56"/>
      <c r="Z27" s="56"/>
      <c r="AA27" s="57">
        <f>0</f>
        <v>0</v>
      </c>
      <c r="AB27" s="57"/>
      <c r="AC27" s="57"/>
    </row>
    <row r="28" spans="1:29" s="1" customFormat="1" ht="33.75" customHeight="1">
      <c r="A28" s="27" t="s">
        <v>59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9" t="s">
        <v>36</v>
      </c>
      <c r="N28" s="29"/>
      <c r="O28" s="29"/>
      <c r="P28" s="29" t="s">
        <v>62</v>
      </c>
      <c r="Q28" s="29"/>
      <c r="R28" s="29"/>
      <c r="S28" s="31" t="s">
        <v>48</v>
      </c>
      <c r="T28" s="31"/>
      <c r="U28" s="31"/>
      <c r="V28" s="56">
        <f>-5.34</f>
        <v>-5.34</v>
      </c>
      <c r="W28" s="56"/>
      <c r="X28" s="56"/>
      <c r="Y28" s="56"/>
      <c r="Z28" s="56"/>
      <c r="AA28" s="57">
        <f>0</f>
        <v>0</v>
      </c>
      <c r="AB28" s="57"/>
      <c r="AC28" s="57"/>
    </row>
    <row r="29" spans="1:29" s="1" customFormat="1" ht="24" customHeight="1">
      <c r="A29" s="27" t="s">
        <v>63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9" t="s">
        <v>36</v>
      </c>
      <c r="N29" s="29"/>
      <c r="O29" s="29"/>
      <c r="P29" s="29" t="s">
        <v>64</v>
      </c>
      <c r="Q29" s="29"/>
      <c r="R29" s="29"/>
      <c r="S29" s="56">
        <f>120000</f>
        <v>120000</v>
      </c>
      <c r="T29" s="56"/>
      <c r="U29" s="56"/>
      <c r="V29" s="31" t="s">
        <v>48</v>
      </c>
      <c r="W29" s="31"/>
      <c r="X29" s="31"/>
      <c r="Y29" s="31"/>
      <c r="Z29" s="31"/>
      <c r="AA29" s="57">
        <f>120000</f>
        <v>120000</v>
      </c>
      <c r="AB29" s="57"/>
      <c r="AC29" s="57"/>
    </row>
    <row r="30" spans="1:29" s="1" customFormat="1" ht="24" customHeight="1">
      <c r="A30" s="27" t="s">
        <v>65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9" t="s">
        <v>36</v>
      </c>
      <c r="N30" s="29"/>
      <c r="O30" s="29"/>
      <c r="P30" s="29" t="s">
        <v>66</v>
      </c>
      <c r="Q30" s="29"/>
      <c r="R30" s="29"/>
      <c r="S30" s="31" t="s">
        <v>48</v>
      </c>
      <c r="T30" s="31"/>
      <c r="U30" s="31"/>
      <c r="V30" s="56">
        <f>19713</f>
        <v>19713</v>
      </c>
      <c r="W30" s="56"/>
      <c r="X30" s="56"/>
      <c r="Y30" s="56"/>
      <c r="Z30" s="56"/>
      <c r="AA30" s="57">
        <f>0</f>
        <v>0</v>
      </c>
      <c r="AB30" s="57"/>
      <c r="AC30" s="57"/>
    </row>
    <row r="31" spans="1:29" s="1" customFormat="1" ht="24" customHeight="1">
      <c r="A31" s="27" t="s">
        <v>65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9" t="s">
        <v>36</v>
      </c>
      <c r="N31" s="29"/>
      <c r="O31" s="29"/>
      <c r="P31" s="29" t="s">
        <v>67</v>
      </c>
      <c r="Q31" s="29"/>
      <c r="R31" s="29"/>
      <c r="S31" s="31" t="s">
        <v>48</v>
      </c>
      <c r="T31" s="31"/>
      <c r="U31" s="31"/>
      <c r="V31" s="56">
        <f>238.74</f>
        <v>238.74</v>
      </c>
      <c r="W31" s="56"/>
      <c r="X31" s="56"/>
      <c r="Y31" s="56"/>
      <c r="Z31" s="56"/>
      <c r="AA31" s="57">
        <f>0</f>
        <v>0</v>
      </c>
      <c r="AB31" s="57"/>
      <c r="AC31" s="57"/>
    </row>
    <row r="32" spans="1:29" s="1" customFormat="1" ht="24" customHeight="1">
      <c r="A32" s="27" t="s">
        <v>68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9" t="s">
        <v>36</v>
      </c>
      <c r="N32" s="29"/>
      <c r="O32" s="29"/>
      <c r="P32" s="29" t="s">
        <v>69</v>
      </c>
      <c r="Q32" s="29"/>
      <c r="R32" s="29"/>
      <c r="S32" s="56">
        <f>5000</f>
        <v>5000</v>
      </c>
      <c r="T32" s="56"/>
      <c r="U32" s="56"/>
      <c r="V32" s="31" t="s">
        <v>48</v>
      </c>
      <c r="W32" s="31"/>
      <c r="X32" s="31"/>
      <c r="Y32" s="31"/>
      <c r="Z32" s="31"/>
      <c r="AA32" s="57">
        <f>5000</f>
        <v>5000</v>
      </c>
      <c r="AB32" s="57"/>
      <c r="AC32" s="57"/>
    </row>
    <row r="33" spans="1:29" s="1" customFormat="1" ht="24" customHeight="1">
      <c r="A33" s="27" t="s">
        <v>70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9" t="s">
        <v>36</v>
      </c>
      <c r="N33" s="29"/>
      <c r="O33" s="29"/>
      <c r="P33" s="29" t="s">
        <v>71</v>
      </c>
      <c r="Q33" s="29"/>
      <c r="R33" s="29"/>
      <c r="S33" s="31" t="s">
        <v>48</v>
      </c>
      <c r="T33" s="31"/>
      <c r="U33" s="31"/>
      <c r="V33" s="56">
        <f>849.26</f>
        <v>849.26</v>
      </c>
      <c r="W33" s="56"/>
      <c r="X33" s="56"/>
      <c r="Y33" s="56"/>
      <c r="Z33" s="56"/>
      <c r="AA33" s="57">
        <f>0</f>
        <v>0</v>
      </c>
      <c r="AB33" s="57"/>
      <c r="AC33" s="57"/>
    </row>
    <row r="34" spans="1:29" s="1" customFormat="1" ht="24" customHeight="1">
      <c r="A34" s="27" t="s">
        <v>70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9" t="s">
        <v>36</v>
      </c>
      <c r="N34" s="29"/>
      <c r="O34" s="29"/>
      <c r="P34" s="29" t="s">
        <v>72</v>
      </c>
      <c r="Q34" s="29"/>
      <c r="R34" s="29"/>
      <c r="S34" s="31" t="s">
        <v>48</v>
      </c>
      <c r="T34" s="31"/>
      <c r="U34" s="31"/>
      <c r="V34" s="56">
        <f>327.94</f>
        <v>327.94</v>
      </c>
      <c r="W34" s="56"/>
      <c r="X34" s="56"/>
      <c r="Y34" s="56"/>
      <c r="Z34" s="56"/>
      <c r="AA34" s="57">
        <f>0</f>
        <v>0</v>
      </c>
      <c r="AB34" s="57"/>
      <c r="AC34" s="57"/>
    </row>
    <row r="35" spans="1:29" s="1" customFormat="1" ht="45" customHeight="1">
      <c r="A35" s="27" t="s">
        <v>73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9" t="s">
        <v>36</v>
      </c>
      <c r="N35" s="29"/>
      <c r="O35" s="29"/>
      <c r="P35" s="29" t="s">
        <v>74</v>
      </c>
      <c r="Q35" s="29"/>
      <c r="R35" s="29"/>
      <c r="S35" s="56">
        <f>32000</f>
        <v>32000</v>
      </c>
      <c r="T35" s="56"/>
      <c r="U35" s="56"/>
      <c r="V35" s="31" t="s">
        <v>48</v>
      </c>
      <c r="W35" s="31"/>
      <c r="X35" s="31"/>
      <c r="Y35" s="31"/>
      <c r="Z35" s="31"/>
      <c r="AA35" s="57">
        <f>32000</f>
        <v>32000</v>
      </c>
      <c r="AB35" s="57"/>
      <c r="AC35" s="57"/>
    </row>
    <row r="36" spans="1:29" s="1" customFormat="1" ht="45" customHeight="1">
      <c r="A36" s="27" t="s">
        <v>73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9" t="s">
        <v>36</v>
      </c>
      <c r="N36" s="29"/>
      <c r="O36" s="29"/>
      <c r="P36" s="29" t="s">
        <v>75</v>
      </c>
      <c r="Q36" s="29"/>
      <c r="R36" s="29"/>
      <c r="S36" s="31" t="s">
        <v>48</v>
      </c>
      <c r="T36" s="31"/>
      <c r="U36" s="31"/>
      <c r="V36" s="56">
        <f>3940</f>
        <v>3940</v>
      </c>
      <c r="W36" s="56"/>
      <c r="X36" s="56"/>
      <c r="Y36" s="56"/>
      <c r="Z36" s="56"/>
      <c r="AA36" s="57">
        <f>0</f>
        <v>0</v>
      </c>
      <c r="AB36" s="57"/>
      <c r="AC36" s="57"/>
    </row>
    <row r="37" spans="1:29" s="1" customFormat="1" ht="24" customHeight="1">
      <c r="A37" s="27" t="s">
        <v>76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9" t="s">
        <v>36</v>
      </c>
      <c r="N37" s="29"/>
      <c r="O37" s="29"/>
      <c r="P37" s="29" t="s">
        <v>77</v>
      </c>
      <c r="Q37" s="29"/>
      <c r="R37" s="29"/>
      <c r="S37" s="56">
        <f>240000</f>
        <v>240000</v>
      </c>
      <c r="T37" s="56"/>
      <c r="U37" s="56"/>
      <c r="V37" s="56">
        <f>34746.31</f>
        <v>34746.31</v>
      </c>
      <c r="W37" s="56"/>
      <c r="X37" s="56"/>
      <c r="Y37" s="56"/>
      <c r="Z37" s="56"/>
      <c r="AA37" s="57">
        <f>205253.69</f>
        <v>205253.69</v>
      </c>
      <c r="AB37" s="57"/>
      <c r="AC37" s="57"/>
    </row>
    <row r="38" spans="1:29" s="1" customFormat="1" ht="45" customHeight="1">
      <c r="A38" s="27" t="s">
        <v>78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9" t="s">
        <v>36</v>
      </c>
      <c r="N38" s="29"/>
      <c r="O38" s="29"/>
      <c r="P38" s="29" t="s">
        <v>79</v>
      </c>
      <c r="Q38" s="29"/>
      <c r="R38" s="29"/>
      <c r="S38" s="56">
        <f>80000</f>
        <v>80000</v>
      </c>
      <c r="T38" s="56"/>
      <c r="U38" s="56"/>
      <c r="V38" s="56">
        <f>6460.82</f>
        <v>6460.82</v>
      </c>
      <c r="W38" s="56"/>
      <c r="X38" s="56"/>
      <c r="Y38" s="56"/>
      <c r="Z38" s="56"/>
      <c r="AA38" s="57">
        <f>73539.18</f>
        <v>73539.18</v>
      </c>
      <c r="AB38" s="57"/>
      <c r="AC38" s="57"/>
    </row>
    <row r="39" spans="1:29" s="1" customFormat="1" ht="13.5" customHeight="1">
      <c r="A39" s="27" t="s">
        <v>80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9" t="s">
        <v>36</v>
      </c>
      <c r="N39" s="29"/>
      <c r="O39" s="29"/>
      <c r="P39" s="29" t="s">
        <v>81</v>
      </c>
      <c r="Q39" s="29"/>
      <c r="R39" s="29"/>
      <c r="S39" s="56">
        <f>2000000</f>
        <v>2000000</v>
      </c>
      <c r="T39" s="56"/>
      <c r="U39" s="56"/>
      <c r="V39" s="56">
        <f>330315</f>
        <v>330315</v>
      </c>
      <c r="W39" s="56"/>
      <c r="X39" s="56"/>
      <c r="Y39" s="56"/>
      <c r="Z39" s="56"/>
      <c r="AA39" s="57">
        <f>1669685</f>
        <v>1669685</v>
      </c>
      <c r="AB39" s="57"/>
      <c r="AC39" s="57"/>
    </row>
    <row r="40" spans="1:29" s="1" customFormat="1" ht="24" customHeight="1">
      <c r="A40" s="27" t="s">
        <v>82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9" t="s">
        <v>36</v>
      </c>
      <c r="N40" s="29"/>
      <c r="O40" s="29"/>
      <c r="P40" s="29" t="s">
        <v>83</v>
      </c>
      <c r="Q40" s="29"/>
      <c r="R40" s="29"/>
      <c r="S40" s="56">
        <f>3393800</f>
        <v>3393800</v>
      </c>
      <c r="T40" s="56"/>
      <c r="U40" s="56"/>
      <c r="V40" s="56">
        <f>779320</f>
        <v>779320</v>
      </c>
      <c r="W40" s="56"/>
      <c r="X40" s="56"/>
      <c r="Y40" s="56"/>
      <c r="Z40" s="56"/>
      <c r="AA40" s="57">
        <f>2614480</f>
        <v>2614480</v>
      </c>
      <c r="AB40" s="57"/>
      <c r="AC40" s="57"/>
    </row>
    <row r="41" spans="1:29" s="1" customFormat="1" ht="24" customHeight="1">
      <c r="A41" s="27" t="s">
        <v>84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9" t="s">
        <v>36</v>
      </c>
      <c r="N41" s="29"/>
      <c r="O41" s="29"/>
      <c r="P41" s="29" t="s">
        <v>85</v>
      </c>
      <c r="Q41" s="29"/>
      <c r="R41" s="29"/>
      <c r="S41" s="56">
        <f>8136900</f>
        <v>8136900</v>
      </c>
      <c r="T41" s="56"/>
      <c r="U41" s="56"/>
      <c r="V41" s="56">
        <f>2847915</f>
        <v>2847915</v>
      </c>
      <c r="W41" s="56"/>
      <c r="X41" s="56"/>
      <c r="Y41" s="56"/>
      <c r="Z41" s="56"/>
      <c r="AA41" s="57">
        <f>5288985</f>
        <v>5288985</v>
      </c>
      <c r="AB41" s="57"/>
      <c r="AC41" s="57"/>
    </row>
    <row r="42" spans="1:29" s="1" customFormat="1" ht="24" customHeight="1">
      <c r="A42" s="27" t="s">
        <v>86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9" t="s">
        <v>36</v>
      </c>
      <c r="N42" s="29"/>
      <c r="O42" s="29"/>
      <c r="P42" s="29" t="s">
        <v>87</v>
      </c>
      <c r="Q42" s="29"/>
      <c r="R42" s="29"/>
      <c r="S42" s="56">
        <f>80000</f>
        <v>80000</v>
      </c>
      <c r="T42" s="56"/>
      <c r="U42" s="56"/>
      <c r="V42" s="56">
        <f>20000</f>
        <v>20000</v>
      </c>
      <c r="W42" s="56"/>
      <c r="X42" s="56"/>
      <c r="Y42" s="56"/>
      <c r="Z42" s="56"/>
      <c r="AA42" s="57">
        <f>60000</f>
        <v>60000</v>
      </c>
      <c r="AB42" s="57"/>
      <c r="AC42" s="57"/>
    </row>
    <row r="43" spans="1:29" s="1" customFormat="1" ht="24" customHeight="1">
      <c r="A43" s="27" t="s">
        <v>88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9" t="s">
        <v>36</v>
      </c>
      <c r="N43" s="29"/>
      <c r="O43" s="29"/>
      <c r="P43" s="29" t="s">
        <v>89</v>
      </c>
      <c r="Q43" s="29"/>
      <c r="R43" s="29"/>
      <c r="S43" s="56">
        <f>13659298</f>
        <v>13659298</v>
      </c>
      <c r="T43" s="56"/>
      <c r="U43" s="56"/>
      <c r="V43" s="56">
        <f>13390698</f>
        <v>13390698</v>
      </c>
      <c r="W43" s="56"/>
      <c r="X43" s="56"/>
      <c r="Y43" s="56"/>
      <c r="Z43" s="56"/>
      <c r="AA43" s="57">
        <f>268600</f>
        <v>268600</v>
      </c>
      <c r="AB43" s="57"/>
      <c r="AC43" s="57"/>
    </row>
    <row r="44" spans="1:29" s="1" customFormat="1" ht="13.5" customHeight="1">
      <c r="A44" s="55" t="s">
        <v>11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</row>
    <row r="45" spans="1:29" s="1" customFormat="1" ht="13.5" customHeight="1">
      <c r="A45" s="44" t="s">
        <v>90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</row>
    <row r="46" spans="1:29" s="1" customFormat="1" ht="34.5" customHeight="1">
      <c r="A46" s="45" t="s">
        <v>23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 t="s">
        <v>24</v>
      </c>
      <c r="M46" s="45"/>
      <c r="N46" s="45"/>
      <c r="O46" s="45" t="s">
        <v>91</v>
      </c>
      <c r="P46" s="45"/>
      <c r="Q46" s="45"/>
      <c r="R46" s="46" t="s">
        <v>92</v>
      </c>
      <c r="S46" s="46"/>
      <c r="T46" s="46" t="s">
        <v>26</v>
      </c>
      <c r="U46" s="46"/>
      <c r="V46" s="46"/>
      <c r="W46" s="46" t="s">
        <v>27</v>
      </c>
      <c r="X46" s="46"/>
      <c r="Y46" s="46"/>
      <c r="Z46" s="46"/>
      <c r="AA46" s="46"/>
      <c r="AB46" s="47" t="s">
        <v>28</v>
      </c>
      <c r="AC46" s="47"/>
    </row>
    <row r="47" spans="1:29" s="1" customFormat="1" ht="13.5" customHeight="1">
      <c r="A47" s="42" t="s">
        <v>29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 t="s">
        <v>30</v>
      </c>
      <c r="M47" s="42"/>
      <c r="N47" s="42"/>
      <c r="O47" s="42" t="s">
        <v>31</v>
      </c>
      <c r="P47" s="42"/>
      <c r="Q47" s="42"/>
      <c r="R47" s="43" t="s">
        <v>32</v>
      </c>
      <c r="S47" s="43"/>
      <c r="T47" s="43" t="s">
        <v>33</v>
      </c>
      <c r="U47" s="43"/>
      <c r="V47" s="43"/>
      <c r="W47" s="43" t="s">
        <v>34</v>
      </c>
      <c r="X47" s="43"/>
      <c r="Y47" s="43"/>
      <c r="Z47" s="43"/>
      <c r="AA47" s="43"/>
      <c r="AB47" s="35" t="s">
        <v>93</v>
      </c>
      <c r="AC47" s="35"/>
    </row>
    <row r="48" spans="1:29" s="1" customFormat="1" ht="13.5" customHeight="1">
      <c r="A48" s="36" t="s">
        <v>94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7" t="s">
        <v>95</v>
      </c>
      <c r="M48" s="37"/>
      <c r="N48" s="37"/>
      <c r="O48" s="37" t="s">
        <v>37</v>
      </c>
      <c r="P48" s="37"/>
      <c r="Q48" s="37"/>
      <c r="R48" s="53" t="s">
        <v>37</v>
      </c>
      <c r="S48" s="53"/>
      <c r="T48" s="39">
        <f>64339068.31</f>
        <v>64339068.31</v>
      </c>
      <c r="U48" s="39"/>
      <c r="V48" s="39"/>
      <c r="W48" s="39">
        <f>13009181.69</f>
        <v>13009181.69</v>
      </c>
      <c r="X48" s="39"/>
      <c r="Y48" s="39"/>
      <c r="Z48" s="39"/>
      <c r="AA48" s="39"/>
      <c r="AB48" s="54">
        <f>51329886.62</f>
        <v>51329886.62</v>
      </c>
      <c r="AC48" s="54"/>
    </row>
    <row r="49" spans="1:29" s="1" customFormat="1" ht="13.5" customHeight="1">
      <c r="A49" s="14" t="s">
        <v>96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5" t="s">
        <v>95</v>
      </c>
      <c r="M49" s="15"/>
      <c r="N49" s="15"/>
      <c r="O49" s="15" t="s">
        <v>97</v>
      </c>
      <c r="P49" s="15"/>
      <c r="Q49" s="15"/>
      <c r="R49" s="23" t="s">
        <v>98</v>
      </c>
      <c r="S49" s="23"/>
      <c r="T49" s="17">
        <f>900000</f>
        <v>900000</v>
      </c>
      <c r="U49" s="17"/>
      <c r="V49" s="17"/>
      <c r="W49" s="17">
        <f>264410</f>
        <v>264410</v>
      </c>
      <c r="X49" s="17"/>
      <c r="Y49" s="17"/>
      <c r="Z49" s="17"/>
      <c r="AA49" s="17"/>
      <c r="AB49" s="51">
        <f>635590</f>
        <v>635590</v>
      </c>
      <c r="AC49" s="51"/>
    </row>
    <row r="50" spans="1:29" s="1" customFormat="1" ht="13.5" customHeight="1">
      <c r="A50" s="14" t="s">
        <v>99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5" t="s">
        <v>95</v>
      </c>
      <c r="M50" s="15"/>
      <c r="N50" s="15"/>
      <c r="O50" s="15" t="s">
        <v>100</v>
      </c>
      <c r="P50" s="15"/>
      <c r="Q50" s="15"/>
      <c r="R50" s="23" t="s">
        <v>101</v>
      </c>
      <c r="S50" s="23"/>
      <c r="T50" s="17">
        <f>300000</f>
        <v>300000</v>
      </c>
      <c r="U50" s="17"/>
      <c r="V50" s="17"/>
      <c r="W50" s="17">
        <f>73743.9</f>
        <v>73743.9</v>
      </c>
      <c r="X50" s="17"/>
      <c r="Y50" s="17"/>
      <c r="Z50" s="17"/>
      <c r="AA50" s="17"/>
      <c r="AB50" s="51">
        <f>226256.1</f>
        <v>226256.1</v>
      </c>
      <c r="AC50" s="51"/>
    </row>
    <row r="51" spans="1:29" s="1" customFormat="1" ht="13.5" customHeight="1">
      <c r="A51" s="14" t="s">
        <v>102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5" t="s">
        <v>95</v>
      </c>
      <c r="M51" s="15"/>
      <c r="N51" s="15"/>
      <c r="O51" s="15" t="s">
        <v>103</v>
      </c>
      <c r="P51" s="15"/>
      <c r="Q51" s="15"/>
      <c r="R51" s="23" t="s">
        <v>104</v>
      </c>
      <c r="S51" s="23"/>
      <c r="T51" s="17">
        <f>50000</f>
        <v>50000</v>
      </c>
      <c r="U51" s="17"/>
      <c r="V51" s="17"/>
      <c r="W51" s="21" t="s">
        <v>48</v>
      </c>
      <c r="X51" s="21"/>
      <c r="Y51" s="21"/>
      <c r="Z51" s="21"/>
      <c r="AA51" s="21"/>
      <c r="AB51" s="51">
        <f>50000</f>
        <v>50000</v>
      </c>
      <c r="AC51" s="51"/>
    </row>
    <row r="52" spans="1:29" s="1" customFormat="1" ht="13.5" customHeight="1">
      <c r="A52" s="14" t="s">
        <v>96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5" t="s">
        <v>95</v>
      </c>
      <c r="M52" s="15"/>
      <c r="N52" s="15"/>
      <c r="O52" s="15" t="s">
        <v>105</v>
      </c>
      <c r="P52" s="15"/>
      <c r="Q52" s="15"/>
      <c r="R52" s="23" t="s">
        <v>98</v>
      </c>
      <c r="S52" s="23"/>
      <c r="T52" s="17">
        <f>3100000</f>
        <v>3100000</v>
      </c>
      <c r="U52" s="17"/>
      <c r="V52" s="17"/>
      <c r="W52" s="17">
        <f>1356797.81</f>
        <v>1356797.81</v>
      </c>
      <c r="X52" s="17"/>
      <c r="Y52" s="17"/>
      <c r="Z52" s="17"/>
      <c r="AA52" s="17"/>
      <c r="AB52" s="51">
        <f>1743202.19</f>
        <v>1743202.19</v>
      </c>
      <c r="AC52" s="51"/>
    </row>
    <row r="53" spans="1:29" s="1" customFormat="1" ht="13.5" customHeight="1">
      <c r="A53" s="14" t="s">
        <v>102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5" t="s">
        <v>95</v>
      </c>
      <c r="M53" s="15"/>
      <c r="N53" s="15"/>
      <c r="O53" s="15" t="s">
        <v>106</v>
      </c>
      <c r="P53" s="15"/>
      <c r="Q53" s="15"/>
      <c r="R53" s="23" t="s">
        <v>104</v>
      </c>
      <c r="S53" s="23"/>
      <c r="T53" s="17">
        <f>100000</f>
        <v>100000</v>
      </c>
      <c r="U53" s="17"/>
      <c r="V53" s="17"/>
      <c r="W53" s="21" t="s">
        <v>48</v>
      </c>
      <c r="X53" s="21"/>
      <c r="Y53" s="21"/>
      <c r="Z53" s="21"/>
      <c r="AA53" s="21"/>
      <c r="AB53" s="51">
        <f>100000</f>
        <v>100000</v>
      </c>
      <c r="AC53" s="51"/>
    </row>
    <row r="54" spans="1:29" s="1" customFormat="1" ht="13.5" customHeight="1">
      <c r="A54" s="14" t="s">
        <v>99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5" t="s">
        <v>95</v>
      </c>
      <c r="M54" s="15"/>
      <c r="N54" s="15"/>
      <c r="O54" s="15" t="s">
        <v>107</v>
      </c>
      <c r="P54" s="15"/>
      <c r="Q54" s="15"/>
      <c r="R54" s="23" t="s">
        <v>101</v>
      </c>
      <c r="S54" s="23"/>
      <c r="T54" s="17">
        <f>1350000</f>
        <v>1350000</v>
      </c>
      <c r="U54" s="17"/>
      <c r="V54" s="17"/>
      <c r="W54" s="17">
        <f>425006.62</f>
        <v>425006.62</v>
      </c>
      <c r="X54" s="17"/>
      <c r="Y54" s="17"/>
      <c r="Z54" s="17"/>
      <c r="AA54" s="17"/>
      <c r="AB54" s="51">
        <f>924993.38</f>
        <v>924993.38</v>
      </c>
      <c r="AC54" s="51"/>
    </row>
    <row r="55" spans="1:29" s="1" customFormat="1" ht="13.5" customHeight="1">
      <c r="A55" s="14" t="s">
        <v>108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5" t="s">
        <v>95</v>
      </c>
      <c r="M55" s="15"/>
      <c r="N55" s="15"/>
      <c r="O55" s="15" t="s">
        <v>109</v>
      </c>
      <c r="P55" s="15"/>
      <c r="Q55" s="15"/>
      <c r="R55" s="23" t="s">
        <v>110</v>
      </c>
      <c r="S55" s="23"/>
      <c r="T55" s="17">
        <f>50000</f>
        <v>50000</v>
      </c>
      <c r="U55" s="17"/>
      <c r="V55" s="17"/>
      <c r="W55" s="21" t="s">
        <v>48</v>
      </c>
      <c r="X55" s="21"/>
      <c r="Y55" s="21"/>
      <c r="Z55" s="21"/>
      <c r="AA55" s="21"/>
      <c r="AB55" s="51">
        <f>50000</f>
        <v>50000</v>
      </c>
      <c r="AC55" s="51"/>
    </row>
    <row r="56" spans="1:29" s="1" customFormat="1" ht="13.5" customHeight="1">
      <c r="A56" s="14" t="s">
        <v>111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5" t="s">
        <v>95</v>
      </c>
      <c r="M56" s="15"/>
      <c r="N56" s="15"/>
      <c r="O56" s="15" t="s">
        <v>112</v>
      </c>
      <c r="P56" s="15"/>
      <c r="Q56" s="15"/>
      <c r="R56" s="23" t="s">
        <v>113</v>
      </c>
      <c r="S56" s="23"/>
      <c r="T56" s="17">
        <f>12500000</f>
        <v>12500000</v>
      </c>
      <c r="U56" s="17"/>
      <c r="V56" s="17"/>
      <c r="W56" s="21" t="s">
        <v>48</v>
      </c>
      <c r="X56" s="21"/>
      <c r="Y56" s="21"/>
      <c r="Z56" s="21"/>
      <c r="AA56" s="21"/>
      <c r="AB56" s="51">
        <f>12500000</f>
        <v>12500000</v>
      </c>
      <c r="AC56" s="51"/>
    </row>
    <row r="57" spans="1:29" s="1" customFormat="1" ht="13.5" customHeight="1">
      <c r="A57" s="14" t="s">
        <v>114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5" t="s">
        <v>95</v>
      </c>
      <c r="M57" s="15"/>
      <c r="N57" s="15"/>
      <c r="O57" s="15" t="s">
        <v>115</v>
      </c>
      <c r="P57" s="15"/>
      <c r="Q57" s="15"/>
      <c r="R57" s="23" t="s">
        <v>116</v>
      </c>
      <c r="S57" s="23"/>
      <c r="T57" s="17">
        <f>50000</f>
        <v>50000</v>
      </c>
      <c r="U57" s="17"/>
      <c r="V57" s="17"/>
      <c r="W57" s="21" t="s">
        <v>48</v>
      </c>
      <c r="X57" s="21"/>
      <c r="Y57" s="21"/>
      <c r="Z57" s="21"/>
      <c r="AA57" s="21"/>
      <c r="AB57" s="51">
        <f>50000</f>
        <v>50000</v>
      </c>
      <c r="AC57" s="51"/>
    </row>
    <row r="58" spans="1:29" s="1" customFormat="1" ht="13.5" customHeight="1">
      <c r="A58" s="14" t="s">
        <v>96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5" t="s">
        <v>95</v>
      </c>
      <c r="M58" s="15"/>
      <c r="N58" s="15"/>
      <c r="O58" s="15" t="s">
        <v>117</v>
      </c>
      <c r="P58" s="15"/>
      <c r="Q58" s="15"/>
      <c r="R58" s="23" t="s">
        <v>98</v>
      </c>
      <c r="S58" s="23"/>
      <c r="T58" s="17">
        <f>2800000</f>
        <v>2800000</v>
      </c>
      <c r="U58" s="17"/>
      <c r="V58" s="17"/>
      <c r="W58" s="17">
        <f>912720.58</f>
        <v>912720.58</v>
      </c>
      <c r="X58" s="17"/>
      <c r="Y58" s="17"/>
      <c r="Z58" s="17"/>
      <c r="AA58" s="17"/>
      <c r="AB58" s="51">
        <f>1887279.42</f>
        <v>1887279.42</v>
      </c>
      <c r="AC58" s="51"/>
    </row>
    <row r="59" spans="1:29" s="1" customFormat="1" ht="13.5" customHeight="1">
      <c r="A59" s="14" t="s">
        <v>102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5" t="s">
        <v>95</v>
      </c>
      <c r="M59" s="15"/>
      <c r="N59" s="15"/>
      <c r="O59" s="15" t="s">
        <v>118</v>
      </c>
      <c r="P59" s="15"/>
      <c r="Q59" s="15"/>
      <c r="R59" s="23" t="s">
        <v>104</v>
      </c>
      <c r="S59" s="23"/>
      <c r="T59" s="17">
        <f>100000</f>
        <v>100000</v>
      </c>
      <c r="U59" s="17"/>
      <c r="V59" s="17"/>
      <c r="W59" s="17">
        <f>11700</f>
        <v>11700</v>
      </c>
      <c r="X59" s="17"/>
      <c r="Y59" s="17"/>
      <c r="Z59" s="17"/>
      <c r="AA59" s="17"/>
      <c r="AB59" s="51">
        <f>88300</f>
        <v>88300</v>
      </c>
      <c r="AC59" s="51"/>
    </row>
    <row r="60" spans="1:29" s="1" customFormat="1" ht="13.5" customHeight="1">
      <c r="A60" s="14" t="s">
        <v>99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5" t="s">
        <v>95</v>
      </c>
      <c r="M60" s="15"/>
      <c r="N60" s="15"/>
      <c r="O60" s="15" t="s">
        <v>119</v>
      </c>
      <c r="P60" s="15"/>
      <c r="Q60" s="15"/>
      <c r="R60" s="23" t="s">
        <v>101</v>
      </c>
      <c r="S60" s="23"/>
      <c r="T60" s="17">
        <f>1100000</f>
        <v>1100000</v>
      </c>
      <c r="U60" s="17"/>
      <c r="V60" s="17"/>
      <c r="W60" s="17">
        <f>243305.38</f>
        <v>243305.38</v>
      </c>
      <c r="X60" s="17"/>
      <c r="Y60" s="17"/>
      <c r="Z60" s="17"/>
      <c r="AA60" s="17"/>
      <c r="AB60" s="51">
        <f>856694.62</f>
        <v>856694.62</v>
      </c>
      <c r="AC60" s="51"/>
    </row>
    <row r="61" spans="1:29" s="1" customFormat="1" ht="13.5" customHeight="1">
      <c r="A61" s="14" t="s">
        <v>120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5" t="s">
        <v>95</v>
      </c>
      <c r="M61" s="15"/>
      <c r="N61" s="15"/>
      <c r="O61" s="15" t="s">
        <v>121</v>
      </c>
      <c r="P61" s="15"/>
      <c r="Q61" s="15"/>
      <c r="R61" s="23" t="s">
        <v>122</v>
      </c>
      <c r="S61" s="23"/>
      <c r="T61" s="17">
        <f>10000</f>
        <v>10000</v>
      </c>
      <c r="U61" s="17"/>
      <c r="V61" s="17"/>
      <c r="W61" s="17">
        <f>10000</f>
        <v>10000</v>
      </c>
      <c r="X61" s="17"/>
      <c r="Y61" s="17"/>
      <c r="Z61" s="17"/>
      <c r="AA61" s="17"/>
      <c r="AB61" s="51">
        <f>0</f>
        <v>0</v>
      </c>
      <c r="AC61" s="51"/>
    </row>
    <row r="62" spans="1:29" s="1" customFormat="1" ht="13.5" customHeight="1">
      <c r="A62" s="14" t="s">
        <v>123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5" t="s">
        <v>95</v>
      </c>
      <c r="M62" s="15"/>
      <c r="N62" s="15"/>
      <c r="O62" s="15" t="s">
        <v>121</v>
      </c>
      <c r="P62" s="15"/>
      <c r="Q62" s="15"/>
      <c r="R62" s="23" t="s">
        <v>124</v>
      </c>
      <c r="S62" s="23"/>
      <c r="T62" s="17">
        <f>179400</f>
        <v>179400</v>
      </c>
      <c r="U62" s="17"/>
      <c r="V62" s="17"/>
      <c r="W62" s="17">
        <f>66431.22</f>
        <v>66431.22</v>
      </c>
      <c r="X62" s="17"/>
      <c r="Y62" s="17"/>
      <c r="Z62" s="17"/>
      <c r="AA62" s="17"/>
      <c r="AB62" s="51">
        <f>112968.78</f>
        <v>112968.78</v>
      </c>
      <c r="AC62" s="51"/>
    </row>
    <row r="63" spans="1:29" s="1" customFormat="1" ht="13.5" customHeight="1">
      <c r="A63" s="14" t="s">
        <v>125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5" t="s">
        <v>95</v>
      </c>
      <c r="M63" s="15"/>
      <c r="N63" s="15"/>
      <c r="O63" s="15" t="s">
        <v>121</v>
      </c>
      <c r="P63" s="15"/>
      <c r="Q63" s="15"/>
      <c r="R63" s="23" t="s">
        <v>126</v>
      </c>
      <c r="S63" s="23"/>
      <c r="T63" s="17">
        <f>450000</f>
        <v>450000</v>
      </c>
      <c r="U63" s="17"/>
      <c r="V63" s="17"/>
      <c r="W63" s="17">
        <f>30118.7</f>
        <v>30118.7</v>
      </c>
      <c r="X63" s="17"/>
      <c r="Y63" s="17"/>
      <c r="Z63" s="17"/>
      <c r="AA63" s="17"/>
      <c r="AB63" s="51">
        <f>419881.3</f>
        <v>419881.3</v>
      </c>
      <c r="AC63" s="51"/>
    </row>
    <row r="64" spans="1:29" s="1" customFormat="1" ht="13.5" customHeight="1">
      <c r="A64" s="14" t="s">
        <v>114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5" t="s">
        <v>95</v>
      </c>
      <c r="M64" s="15"/>
      <c r="N64" s="15"/>
      <c r="O64" s="15" t="s">
        <v>121</v>
      </c>
      <c r="P64" s="15"/>
      <c r="Q64" s="15"/>
      <c r="R64" s="23" t="s">
        <v>116</v>
      </c>
      <c r="S64" s="23"/>
      <c r="T64" s="17">
        <f>220600</f>
        <v>220600</v>
      </c>
      <c r="U64" s="17"/>
      <c r="V64" s="17"/>
      <c r="W64" s="17">
        <f>53605.61</f>
        <v>53605.61</v>
      </c>
      <c r="X64" s="17"/>
      <c r="Y64" s="17"/>
      <c r="Z64" s="17"/>
      <c r="AA64" s="17"/>
      <c r="AB64" s="51">
        <f>166994.39</f>
        <v>166994.39</v>
      </c>
      <c r="AC64" s="51"/>
    </row>
    <row r="65" spans="1:29" s="1" customFormat="1" ht="13.5" customHeight="1">
      <c r="A65" s="14" t="s">
        <v>108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5" t="s">
        <v>95</v>
      </c>
      <c r="M65" s="15"/>
      <c r="N65" s="15"/>
      <c r="O65" s="15" t="s">
        <v>121</v>
      </c>
      <c r="P65" s="15"/>
      <c r="Q65" s="15"/>
      <c r="R65" s="23" t="s">
        <v>110</v>
      </c>
      <c r="S65" s="23"/>
      <c r="T65" s="17">
        <f>20000</f>
        <v>20000</v>
      </c>
      <c r="U65" s="17"/>
      <c r="V65" s="17"/>
      <c r="W65" s="17">
        <f>10000</f>
        <v>10000</v>
      </c>
      <c r="X65" s="17"/>
      <c r="Y65" s="17"/>
      <c r="Z65" s="17"/>
      <c r="AA65" s="17"/>
      <c r="AB65" s="51">
        <f>10000</f>
        <v>10000</v>
      </c>
      <c r="AC65" s="51"/>
    </row>
    <row r="66" spans="1:29" s="1" customFormat="1" ht="13.5" customHeight="1">
      <c r="A66" s="14" t="s">
        <v>111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5" t="s">
        <v>95</v>
      </c>
      <c r="M66" s="15"/>
      <c r="N66" s="15"/>
      <c r="O66" s="15" t="s">
        <v>121</v>
      </c>
      <c r="P66" s="15"/>
      <c r="Q66" s="15"/>
      <c r="R66" s="23" t="s">
        <v>113</v>
      </c>
      <c r="S66" s="23"/>
      <c r="T66" s="17">
        <f>820000</f>
        <v>820000</v>
      </c>
      <c r="U66" s="17"/>
      <c r="V66" s="17"/>
      <c r="W66" s="21" t="s">
        <v>48</v>
      </c>
      <c r="X66" s="21"/>
      <c r="Y66" s="21"/>
      <c r="Z66" s="21"/>
      <c r="AA66" s="21"/>
      <c r="AB66" s="51">
        <f>820000</f>
        <v>820000</v>
      </c>
      <c r="AC66" s="51"/>
    </row>
    <row r="67" spans="1:29" s="1" customFormat="1" ht="13.5" customHeight="1">
      <c r="A67" s="14" t="s">
        <v>127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5" t="s">
        <v>95</v>
      </c>
      <c r="M67" s="15"/>
      <c r="N67" s="15"/>
      <c r="O67" s="15" t="s">
        <v>121</v>
      </c>
      <c r="P67" s="15"/>
      <c r="Q67" s="15"/>
      <c r="R67" s="23" t="s">
        <v>128</v>
      </c>
      <c r="S67" s="23"/>
      <c r="T67" s="17">
        <f>680000</f>
        <v>680000</v>
      </c>
      <c r="U67" s="17"/>
      <c r="V67" s="17"/>
      <c r="W67" s="17">
        <f>196743.1</f>
        <v>196743.1</v>
      </c>
      <c r="X67" s="17"/>
      <c r="Y67" s="17"/>
      <c r="Z67" s="17"/>
      <c r="AA67" s="17"/>
      <c r="AB67" s="51">
        <f>483256.9</f>
        <v>483256.9</v>
      </c>
      <c r="AC67" s="51"/>
    </row>
    <row r="68" spans="1:29" s="1" customFormat="1" ht="13.5" customHeight="1">
      <c r="A68" s="14" t="s">
        <v>108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5" t="s">
        <v>95</v>
      </c>
      <c r="M68" s="15"/>
      <c r="N68" s="15"/>
      <c r="O68" s="15" t="s">
        <v>129</v>
      </c>
      <c r="P68" s="15"/>
      <c r="Q68" s="15"/>
      <c r="R68" s="23" t="s">
        <v>110</v>
      </c>
      <c r="S68" s="23"/>
      <c r="T68" s="17">
        <f>30000</f>
        <v>30000</v>
      </c>
      <c r="U68" s="17"/>
      <c r="V68" s="17"/>
      <c r="W68" s="17">
        <f>1047</f>
        <v>1047</v>
      </c>
      <c r="X68" s="17"/>
      <c r="Y68" s="17"/>
      <c r="Z68" s="17"/>
      <c r="AA68" s="17"/>
      <c r="AB68" s="51">
        <f>28953</f>
        <v>28953</v>
      </c>
      <c r="AC68" s="51"/>
    </row>
    <row r="69" spans="1:29" s="1" customFormat="1" ht="13.5" customHeight="1">
      <c r="A69" s="14" t="s">
        <v>108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5" t="s">
        <v>95</v>
      </c>
      <c r="M69" s="15"/>
      <c r="N69" s="15"/>
      <c r="O69" s="15" t="s">
        <v>130</v>
      </c>
      <c r="P69" s="15"/>
      <c r="Q69" s="15"/>
      <c r="R69" s="23" t="s">
        <v>110</v>
      </c>
      <c r="S69" s="23"/>
      <c r="T69" s="17">
        <f>10000</f>
        <v>10000</v>
      </c>
      <c r="U69" s="17"/>
      <c r="V69" s="17"/>
      <c r="W69" s="21" t="s">
        <v>48</v>
      </c>
      <c r="X69" s="21"/>
      <c r="Y69" s="21"/>
      <c r="Z69" s="21"/>
      <c r="AA69" s="21"/>
      <c r="AB69" s="51">
        <f>10000</f>
        <v>10000</v>
      </c>
      <c r="AC69" s="51"/>
    </row>
    <row r="70" spans="1:29" s="1" customFormat="1" ht="13.5" customHeight="1">
      <c r="A70" s="14" t="s">
        <v>108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5" t="s">
        <v>95</v>
      </c>
      <c r="M70" s="15"/>
      <c r="N70" s="15"/>
      <c r="O70" s="15" t="s">
        <v>131</v>
      </c>
      <c r="P70" s="15"/>
      <c r="Q70" s="15"/>
      <c r="R70" s="23" t="s">
        <v>110</v>
      </c>
      <c r="S70" s="23"/>
      <c r="T70" s="17">
        <f>15000</f>
        <v>15000</v>
      </c>
      <c r="U70" s="17"/>
      <c r="V70" s="17"/>
      <c r="W70" s="21" t="s">
        <v>48</v>
      </c>
      <c r="X70" s="21"/>
      <c r="Y70" s="21"/>
      <c r="Z70" s="21"/>
      <c r="AA70" s="21"/>
      <c r="AB70" s="51">
        <f>15000</f>
        <v>15000</v>
      </c>
      <c r="AC70" s="51"/>
    </row>
    <row r="71" spans="1:29" s="1" customFormat="1" ht="13.5" customHeight="1">
      <c r="A71" s="14" t="s">
        <v>132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5" t="s">
        <v>95</v>
      </c>
      <c r="M71" s="15"/>
      <c r="N71" s="15"/>
      <c r="O71" s="15" t="s">
        <v>133</v>
      </c>
      <c r="P71" s="15"/>
      <c r="Q71" s="15"/>
      <c r="R71" s="23" t="s">
        <v>134</v>
      </c>
      <c r="S71" s="23"/>
      <c r="T71" s="17">
        <f>60000</f>
        <v>60000</v>
      </c>
      <c r="U71" s="17"/>
      <c r="V71" s="17"/>
      <c r="W71" s="17">
        <f>14178.8</f>
        <v>14178.8</v>
      </c>
      <c r="X71" s="17"/>
      <c r="Y71" s="17"/>
      <c r="Z71" s="17"/>
      <c r="AA71" s="17"/>
      <c r="AB71" s="51">
        <f>45821.2</f>
        <v>45821.2</v>
      </c>
      <c r="AC71" s="51"/>
    </row>
    <row r="72" spans="1:29" s="1" customFormat="1" ht="13.5" customHeight="1">
      <c r="A72" s="14" t="s">
        <v>114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5" t="s">
        <v>95</v>
      </c>
      <c r="M72" s="15"/>
      <c r="N72" s="15"/>
      <c r="O72" s="15" t="s">
        <v>133</v>
      </c>
      <c r="P72" s="15"/>
      <c r="Q72" s="15"/>
      <c r="R72" s="23" t="s">
        <v>116</v>
      </c>
      <c r="S72" s="23"/>
      <c r="T72" s="17">
        <f>75000</f>
        <v>75000</v>
      </c>
      <c r="U72" s="17"/>
      <c r="V72" s="17"/>
      <c r="W72" s="17">
        <f>71514.7</f>
        <v>71514.7</v>
      </c>
      <c r="X72" s="17"/>
      <c r="Y72" s="17"/>
      <c r="Z72" s="17"/>
      <c r="AA72" s="17"/>
      <c r="AB72" s="51">
        <f>3485.3</f>
        <v>3485.3</v>
      </c>
      <c r="AC72" s="51"/>
    </row>
    <row r="73" spans="1:29" s="1" customFormat="1" ht="13.5" customHeight="1">
      <c r="A73" s="14" t="s">
        <v>108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5" t="s">
        <v>95</v>
      </c>
      <c r="M73" s="15"/>
      <c r="N73" s="15"/>
      <c r="O73" s="15" t="s">
        <v>135</v>
      </c>
      <c r="P73" s="15"/>
      <c r="Q73" s="15"/>
      <c r="R73" s="23" t="s">
        <v>110</v>
      </c>
      <c r="S73" s="23"/>
      <c r="T73" s="17">
        <f>50000</f>
        <v>50000</v>
      </c>
      <c r="U73" s="17"/>
      <c r="V73" s="17"/>
      <c r="W73" s="21" t="s">
        <v>48</v>
      </c>
      <c r="X73" s="21"/>
      <c r="Y73" s="21"/>
      <c r="Z73" s="21"/>
      <c r="AA73" s="21"/>
      <c r="AB73" s="51">
        <f>50000</f>
        <v>50000</v>
      </c>
      <c r="AC73" s="51"/>
    </row>
    <row r="74" spans="1:29" s="1" customFormat="1" ht="13.5" customHeight="1">
      <c r="A74" s="14" t="s">
        <v>108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5" t="s">
        <v>95</v>
      </c>
      <c r="M74" s="15"/>
      <c r="N74" s="15"/>
      <c r="O74" s="15" t="s">
        <v>136</v>
      </c>
      <c r="P74" s="15"/>
      <c r="Q74" s="15"/>
      <c r="R74" s="23" t="s">
        <v>110</v>
      </c>
      <c r="S74" s="23"/>
      <c r="T74" s="17">
        <f>35000</f>
        <v>35000</v>
      </c>
      <c r="U74" s="17"/>
      <c r="V74" s="17"/>
      <c r="W74" s="17">
        <f>4837</f>
        <v>4837</v>
      </c>
      <c r="X74" s="17"/>
      <c r="Y74" s="17"/>
      <c r="Z74" s="17"/>
      <c r="AA74" s="17"/>
      <c r="AB74" s="51">
        <f>30163</f>
        <v>30163</v>
      </c>
      <c r="AC74" s="51"/>
    </row>
    <row r="75" spans="1:29" s="1" customFormat="1" ht="13.5" customHeight="1">
      <c r="A75" s="14" t="s">
        <v>108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5" t="s">
        <v>95</v>
      </c>
      <c r="M75" s="15"/>
      <c r="N75" s="15"/>
      <c r="O75" s="15" t="s">
        <v>137</v>
      </c>
      <c r="P75" s="15"/>
      <c r="Q75" s="15"/>
      <c r="R75" s="23" t="s">
        <v>110</v>
      </c>
      <c r="S75" s="23"/>
      <c r="T75" s="17">
        <f>5000</f>
        <v>5000</v>
      </c>
      <c r="U75" s="17"/>
      <c r="V75" s="17"/>
      <c r="W75" s="17">
        <f>9.81</f>
        <v>9.81</v>
      </c>
      <c r="X75" s="17"/>
      <c r="Y75" s="17"/>
      <c r="Z75" s="17"/>
      <c r="AA75" s="17"/>
      <c r="AB75" s="51">
        <f>4990.19</f>
        <v>4990.19</v>
      </c>
      <c r="AC75" s="51"/>
    </row>
    <row r="76" spans="1:29" s="1" customFormat="1" ht="13.5" customHeight="1">
      <c r="A76" s="14" t="s">
        <v>96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5" t="s">
        <v>95</v>
      </c>
      <c r="M76" s="15"/>
      <c r="N76" s="15"/>
      <c r="O76" s="15" t="s">
        <v>138</v>
      </c>
      <c r="P76" s="15"/>
      <c r="Q76" s="15"/>
      <c r="R76" s="23" t="s">
        <v>98</v>
      </c>
      <c r="S76" s="23"/>
      <c r="T76" s="17">
        <f>60000</f>
        <v>60000</v>
      </c>
      <c r="U76" s="17"/>
      <c r="V76" s="17"/>
      <c r="W76" s="17">
        <f>10862.04</f>
        <v>10862.04</v>
      </c>
      <c r="X76" s="17"/>
      <c r="Y76" s="17"/>
      <c r="Z76" s="17"/>
      <c r="AA76" s="17"/>
      <c r="AB76" s="51">
        <f>49137.96</f>
        <v>49137.96</v>
      </c>
      <c r="AC76" s="51"/>
    </row>
    <row r="77" spans="1:29" s="1" customFormat="1" ht="13.5" customHeight="1">
      <c r="A77" s="14" t="s">
        <v>99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5" t="s">
        <v>95</v>
      </c>
      <c r="M77" s="15"/>
      <c r="N77" s="15"/>
      <c r="O77" s="15" t="s">
        <v>139</v>
      </c>
      <c r="P77" s="15"/>
      <c r="Q77" s="15"/>
      <c r="R77" s="23" t="s">
        <v>101</v>
      </c>
      <c r="S77" s="23"/>
      <c r="T77" s="17">
        <f>20000</f>
        <v>20000</v>
      </c>
      <c r="U77" s="17"/>
      <c r="V77" s="17"/>
      <c r="W77" s="17">
        <f>2965.33</f>
        <v>2965.33</v>
      </c>
      <c r="X77" s="17"/>
      <c r="Y77" s="17"/>
      <c r="Z77" s="17"/>
      <c r="AA77" s="17"/>
      <c r="AB77" s="51">
        <f>17034.67</f>
        <v>17034.67</v>
      </c>
      <c r="AC77" s="51"/>
    </row>
    <row r="78" spans="1:29" s="1" customFormat="1" ht="13.5" customHeight="1">
      <c r="A78" s="14" t="s">
        <v>125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5" t="s">
        <v>95</v>
      </c>
      <c r="M78" s="15"/>
      <c r="N78" s="15"/>
      <c r="O78" s="15" t="s">
        <v>140</v>
      </c>
      <c r="P78" s="15"/>
      <c r="Q78" s="15"/>
      <c r="R78" s="23" t="s">
        <v>126</v>
      </c>
      <c r="S78" s="23"/>
      <c r="T78" s="17">
        <f>13869.9</f>
        <v>13869.9</v>
      </c>
      <c r="U78" s="17"/>
      <c r="V78" s="17"/>
      <c r="W78" s="21" t="s">
        <v>48</v>
      </c>
      <c r="X78" s="21"/>
      <c r="Y78" s="21"/>
      <c r="Z78" s="21"/>
      <c r="AA78" s="21"/>
      <c r="AB78" s="51">
        <f>13869.9</f>
        <v>13869.9</v>
      </c>
      <c r="AC78" s="51"/>
    </row>
    <row r="79" spans="1:29" s="1" customFormat="1" ht="13.5" customHeight="1">
      <c r="A79" s="14" t="s">
        <v>108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5" t="s">
        <v>95</v>
      </c>
      <c r="M79" s="15"/>
      <c r="N79" s="15"/>
      <c r="O79" s="15" t="s">
        <v>141</v>
      </c>
      <c r="P79" s="15"/>
      <c r="Q79" s="15"/>
      <c r="R79" s="23" t="s">
        <v>110</v>
      </c>
      <c r="S79" s="23"/>
      <c r="T79" s="17">
        <f>6700</f>
        <v>6700</v>
      </c>
      <c r="U79" s="17"/>
      <c r="V79" s="17"/>
      <c r="W79" s="21" t="s">
        <v>48</v>
      </c>
      <c r="X79" s="21"/>
      <c r="Y79" s="21"/>
      <c r="Z79" s="21"/>
      <c r="AA79" s="21"/>
      <c r="AB79" s="51">
        <f>6700</f>
        <v>6700</v>
      </c>
      <c r="AC79" s="51"/>
    </row>
    <row r="80" spans="1:29" s="1" customFormat="1" ht="13.5" customHeight="1">
      <c r="A80" s="14" t="s">
        <v>108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5" t="s">
        <v>95</v>
      </c>
      <c r="M80" s="15"/>
      <c r="N80" s="15"/>
      <c r="O80" s="15" t="s">
        <v>142</v>
      </c>
      <c r="P80" s="15"/>
      <c r="Q80" s="15"/>
      <c r="R80" s="23" t="s">
        <v>110</v>
      </c>
      <c r="S80" s="23"/>
      <c r="T80" s="17">
        <f>2900</f>
        <v>2900</v>
      </c>
      <c r="U80" s="17"/>
      <c r="V80" s="17"/>
      <c r="W80" s="21" t="s">
        <v>48</v>
      </c>
      <c r="X80" s="21"/>
      <c r="Y80" s="21"/>
      <c r="Z80" s="21"/>
      <c r="AA80" s="21"/>
      <c r="AB80" s="51">
        <f>2900</f>
        <v>2900</v>
      </c>
      <c r="AC80" s="51"/>
    </row>
    <row r="81" spans="1:29" s="1" customFormat="1" ht="13.5" customHeight="1">
      <c r="A81" s="14" t="s">
        <v>111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5" t="s">
        <v>95</v>
      </c>
      <c r="M81" s="15"/>
      <c r="N81" s="15"/>
      <c r="O81" s="15" t="s">
        <v>143</v>
      </c>
      <c r="P81" s="15"/>
      <c r="Q81" s="15"/>
      <c r="R81" s="23" t="s">
        <v>113</v>
      </c>
      <c r="S81" s="23"/>
      <c r="T81" s="17">
        <f>5000</f>
        <v>5000</v>
      </c>
      <c r="U81" s="17"/>
      <c r="V81" s="17"/>
      <c r="W81" s="21" t="s">
        <v>48</v>
      </c>
      <c r="X81" s="21"/>
      <c r="Y81" s="21"/>
      <c r="Z81" s="21"/>
      <c r="AA81" s="21"/>
      <c r="AB81" s="51">
        <f>5000</f>
        <v>5000</v>
      </c>
      <c r="AC81" s="51"/>
    </row>
    <row r="82" spans="1:29" s="1" customFormat="1" ht="13.5" customHeight="1">
      <c r="A82" s="14" t="s">
        <v>125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5" t="s">
        <v>95</v>
      </c>
      <c r="M82" s="15"/>
      <c r="N82" s="15"/>
      <c r="O82" s="15" t="s">
        <v>144</v>
      </c>
      <c r="P82" s="15"/>
      <c r="Q82" s="15"/>
      <c r="R82" s="23" t="s">
        <v>126</v>
      </c>
      <c r="S82" s="23"/>
      <c r="T82" s="17">
        <f>500000</f>
        <v>500000</v>
      </c>
      <c r="U82" s="17"/>
      <c r="V82" s="17"/>
      <c r="W82" s="21" t="s">
        <v>48</v>
      </c>
      <c r="X82" s="21"/>
      <c r="Y82" s="21"/>
      <c r="Z82" s="21"/>
      <c r="AA82" s="21"/>
      <c r="AB82" s="51">
        <f>500000</f>
        <v>500000</v>
      </c>
      <c r="AC82" s="51"/>
    </row>
    <row r="83" spans="1:29" s="1" customFormat="1" ht="13.5" customHeight="1">
      <c r="A83" s="14" t="s">
        <v>125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5" t="s">
        <v>95</v>
      </c>
      <c r="M83" s="15"/>
      <c r="N83" s="15"/>
      <c r="O83" s="15" t="s">
        <v>145</v>
      </c>
      <c r="P83" s="15"/>
      <c r="Q83" s="15"/>
      <c r="R83" s="23" t="s">
        <v>126</v>
      </c>
      <c r="S83" s="23"/>
      <c r="T83" s="17">
        <f>261900</f>
        <v>261900</v>
      </c>
      <c r="U83" s="17"/>
      <c r="V83" s="17"/>
      <c r="W83" s="21" t="s">
        <v>48</v>
      </c>
      <c r="X83" s="21"/>
      <c r="Y83" s="21"/>
      <c r="Z83" s="21"/>
      <c r="AA83" s="21"/>
      <c r="AB83" s="51">
        <f>261900</f>
        <v>261900</v>
      </c>
      <c r="AC83" s="51"/>
    </row>
    <row r="84" spans="1:29" s="1" customFormat="1" ht="13.5" customHeight="1">
      <c r="A84" s="14" t="s">
        <v>125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5" t="s">
        <v>95</v>
      </c>
      <c r="M84" s="15"/>
      <c r="N84" s="15"/>
      <c r="O84" s="15" t="s">
        <v>146</v>
      </c>
      <c r="P84" s="15"/>
      <c r="Q84" s="15"/>
      <c r="R84" s="23" t="s">
        <v>126</v>
      </c>
      <c r="S84" s="23"/>
      <c r="T84" s="17">
        <f>13800</f>
        <v>13800</v>
      </c>
      <c r="U84" s="17"/>
      <c r="V84" s="17"/>
      <c r="W84" s="21" t="s">
        <v>48</v>
      </c>
      <c r="X84" s="21"/>
      <c r="Y84" s="21"/>
      <c r="Z84" s="21"/>
      <c r="AA84" s="21"/>
      <c r="AB84" s="51">
        <f>13800</f>
        <v>13800</v>
      </c>
      <c r="AC84" s="51"/>
    </row>
    <row r="85" spans="1:29" s="1" customFormat="1" ht="13.5" customHeight="1">
      <c r="A85" s="14" t="s">
        <v>120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5" t="s">
        <v>95</v>
      </c>
      <c r="M85" s="15"/>
      <c r="N85" s="15"/>
      <c r="O85" s="15" t="s">
        <v>147</v>
      </c>
      <c r="P85" s="15"/>
      <c r="Q85" s="15"/>
      <c r="R85" s="23" t="s">
        <v>122</v>
      </c>
      <c r="S85" s="23"/>
      <c r="T85" s="17">
        <f>160000</f>
        <v>160000</v>
      </c>
      <c r="U85" s="17"/>
      <c r="V85" s="17"/>
      <c r="W85" s="17">
        <f>69430.97</f>
        <v>69430.97</v>
      </c>
      <c r="X85" s="17"/>
      <c r="Y85" s="17"/>
      <c r="Z85" s="17"/>
      <c r="AA85" s="17"/>
      <c r="AB85" s="51">
        <f>90569.03</f>
        <v>90569.03</v>
      </c>
      <c r="AC85" s="51"/>
    </row>
    <row r="86" spans="1:29" s="1" customFormat="1" ht="13.5" customHeight="1">
      <c r="A86" s="14" t="s">
        <v>125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5" t="s">
        <v>95</v>
      </c>
      <c r="M86" s="15"/>
      <c r="N86" s="15"/>
      <c r="O86" s="15" t="s">
        <v>147</v>
      </c>
      <c r="P86" s="15"/>
      <c r="Q86" s="15"/>
      <c r="R86" s="23" t="s">
        <v>126</v>
      </c>
      <c r="S86" s="23"/>
      <c r="T86" s="17">
        <f>50000</f>
        <v>50000</v>
      </c>
      <c r="U86" s="17"/>
      <c r="V86" s="17"/>
      <c r="W86" s="17">
        <f>6250</f>
        <v>6250</v>
      </c>
      <c r="X86" s="17"/>
      <c r="Y86" s="17"/>
      <c r="Z86" s="17"/>
      <c r="AA86" s="17"/>
      <c r="AB86" s="51">
        <f>43750</f>
        <v>43750</v>
      </c>
      <c r="AC86" s="51"/>
    </row>
    <row r="87" spans="1:29" s="1" customFormat="1" ht="13.5" customHeight="1">
      <c r="A87" s="14" t="s">
        <v>114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5" t="s">
        <v>95</v>
      </c>
      <c r="M87" s="15"/>
      <c r="N87" s="15"/>
      <c r="O87" s="15" t="s">
        <v>147</v>
      </c>
      <c r="P87" s="15"/>
      <c r="Q87" s="15"/>
      <c r="R87" s="23" t="s">
        <v>116</v>
      </c>
      <c r="S87" s="23"/>
      <c r="T87" s="17">
        <f>291000</f>
        <v>291000</v>
      </c>
      <c r="U87" s="17"/>
      <c r="V87" s="17"/>
      <c r="W87" s="17">
        <f>48438.2</f>
        <v>48438.2</v>
      </c>
      <c r="X87" s="17"/>
      <c r="Y87" s="17"/>
      <c r="Z87" s="17"/>
      <c r="AA87" s="17"/>
      <c r="AB87" s="51">
        <f>242561.8</f>
        <v>242561.8</v>
      </c>
      <c r="AC87" s="51"/>
    </row>
    <row r="88" spans="1:29" s="1" customFormat="1" ht="13.5" customHeight="1">
      <c r="A88" s="14" t="s">
        <v>111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5" t="s">
        <v>95</v>
      </c>
      <c r="M88" s="15"/>
      <c r="N88" s="15"/>
      <c r="O88" s="15" t="s">
        <v>147</v>
      </c>
      <c r="P88" s="15"/>
      <c r="Q88" s="15"/>
      <c r="R88" s="23" t="s">
        <v>113</v>
      </c>
      <c r="S88" s="23"/>
      <c r="T88" s="17">
        <f>200000</f>
        <v>200000</v>
      </c>
      <c r="U88" s="17"/>
      <c r="V88" s="17"/>
      <c r="W88" s="17">
        <f>102564</f>
        <v>102564</v>
      </c>
      <c r="X88" s="17"/>
      <c r="Y88" s="17"/>
      <c r="Z88" s="17"/>
      <c r="AA88" s="17"/>
      <c r="AB88" s="51">
        <f>97436</f>
        <v>97436</v>
      </c>
      <c r="AC88" s="51"/>
    </row>
    <row r="89" spans="1:29" s="1" customFormat="1" ht="13.5" customHeight="1">
      <c r="A89" s="14" t="s">
        <v>127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5" t="s">
        <v>95</v>
      </c>
      <c r="M89" s="15"/>
      <c r="N89" s="15"/>
      <c r="O89" s="15" t="s">
        <v>147</v>
      </c>
      <c r="P89" s="15"/>
      <c r="Q89" s="15"/>
      <c r="R89" s="23" t="s">
        <v>128</v>
      </c>
      <c r="S89" s="23"/>
      <c r="T89" s="17">
        <f>49000</f>
        <v>49000</v>
      </c>
      <c r="U89" s="17"/>
      <c r="V89" s="17"/>
      <c r="W89" s="21" t="s">
        <v>48</v>
      </c>
      <c r="X89" s="21"/>
      <c r="Y89" s="21"/>
      <c r="Z89" s="21"/>
      <c r="AA89" s="21"/>
      <c r="AB89" s="51">
        <f>49000</f>
        <v>49000</v>
      </c>
      <c r="AC89" s="51"/>
    </row>
    <row r="90" spans="1:29" s="1" customFormat="1" ht="13.5" customHeight="1">
      <c r="A90" s="14" t="s">
        <v>114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5" t="s">
        <v>95</v>
      </c>
      <c r="M90" s="15"/>
      <c r="N90" s="15"/>
      <c r="O90" s="15" t="s">
        <v>148</v>
      </c>
      <c r="P90" s="15"/>
      <c r="Q90" s="15"/>
      <c r="R90" s="23" t="s">
        <v>116</v>
      </c>
      <c r="S90" s="23"/>
      <c r="T90" s="17">
        <f>390698</f>
        <v>390698</v>
      </c>
      <c r="U90" s="17"/>
      <c r="V90" s="17"/>
      <c r="W90" s="21" t="s">
        <v>48</v>
      </c>
      <c r="X90" s="21"/>
      <c r="Y90" s="21"/>
      <c r="Z90" s="21"/>
      <c r="AA90" s="21"/>
      <c r="AB90" s="51">
        <f>390698</f>
        <v>390698</v>
      </c>
      <c r="AC90" s="51"/>
    </row>
    <row r="91" spans="1:29" s="1" customFormat="1" ht="13.5" customHeight="1">
      <c r="A91" s="14" t="s">
        <v>111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5" t="s">
        <v>95</v>
      </c>
      <c r="M91" s="15"/>
      <c r="N91" s="15"/>
      <c r="O91" s="15" t="s">
        <v>149</v>
      </c>
      <c r="P91" s="15"/>
      <c r="Q91" s="15"/>
      <c r="R91" s="23" t="s">
        <v>113</v>
      </c>
      <c r="S91" s="23"/>
      <c r="T91" s="17">
        <f>22001876.4</f>
        <v>22001876.4</v>
      </c>
      <c r="U91" s="17"/>
      <c r="V91" s="17"/>
      <c r="W91" s="17">
        <f>3818000</f>
        <v>3818000</v>
      </c>
      <c r="X91" s="17"/>
      <c r="Y91" s="17"/>
      <c r="Z91" s="17"/>
      <c r="AA91" s="17"/>
      <c r="AB91" s="51">
        <f>18183876.4</f>
        <v>18183876.4</v>
      </c>
      <c r="AC91" s="51"/>
    </row>
    <row r="92" spans="1:29" s="1" customFormat="1" ht="13.5" customHeight="1">
      <c r="A92" s="14" t="s">
        <v>125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5" t="s">
        <v>95</v>
      </c>
      <c r="M92" s="15"/>
      <c r="N92" s="15"/>
      <c r="O92" s="15" t="s">
        <v>150</v>
      </c>
      <c r="P92" s="15"/>
      <c r="Q92" s="15"/>
      <c r="R92" s="23" t="s">
        <v>126</v>
      </c>
      <c r="S92" s="23"/>
      <c r="T92" s="17">
        <f>300000</f>
        <v>300000</v>
      </c>
      <c r="U92" s="17"/>
      <c r="V92" s="17"/>
      <c r="W92" s="17">
        <f>32511.16</f>
        <v>32511.16</v>
      </c>
      <c r="X92" s="17"/>
      <c r="Y92" s="17"/>
      <c r="Z92" s="17"/>
      <c r="AA92" s="17"/>
      <c r="AB92" s="51">
        <f>267488.84</f>
        <v>267488.84</v>
      </c>
      <c r="AC92" s="51"/>
    </row>
    <row r="93" spans="1:29" s="1" customFormat="1" ht="13.5" customHeight="1">
      <c r="A93" s="14" t="s">
        <v>114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5" t="s">
        <v>95</v>
      </c>
      <c r="M93" s="15"/>
      <c r="N93" s="15"/>
      <c r="O93" s="15" t="s">
        <v>150</v>
      </c>
      <c r="P93" s="15"/>
      <c r="Q93" s="15"/>
      <c r="R93" s="23" t="s">
        <v>116</v>
      </c>
      <c r="S93" s="23"/>
      <c r="T93" s="17">
        <f>550000</f>
        <v>550000</v>
      </c>
      <c r="U93" s="17"/>
      <c r="V93" s="17"/>
      <c r="W93" s="17">
        <f>7000</f>
        <v>7000</v>
      </c>
      <c r="X93" s="17"/>
      <c r="Y93" s="17"/>
      <c r="Z93" s="17"/>
      <c r="AA93" s="17"/>
      <c r="AB93" s="51">
        <f>543000</f>
        <v>543000</v>
      </c>
      <c r="AC93" s="51"/>
    </row>
    <row r="94" spans="1:29" s="1" customFormat="1" ht="13.5" customHeight="1">
      <c r="A94" s="14" t="s">
        <v>123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5" t="s">
        <v>95</v>
      </c>
      <c r="M94" s="15"/>
      <c r="N94" s="15"/>
      <c r="O94" s="15" t="s">
        <v>151</v>
      </c>
      <c r="P94" s="15"/>
      <c r="Q94" s="15"/>
      <c r="R94" s="23" t="s">
        <v>124</v>
      </c>
      <c r="S94" s="23"/>
      <c r="T94" s="17">
        <f>162425.81</f>
        <v>162425.81</v>
      </c>
      <c r="U94" s="17"/>
      <c r="V94" s="17"/>
      <c r="W94" s="17">
        <f>48786.83</f>
        <v>48786.83</v>
      </c>
      <c r="X94" s="17"/>
      <c r="Y94" s="17"/>
      <c r="Z94" s="17"/>
      <c r="AA94" s="17"/>
      <c r="AB94" s="51">
        <f>113638.98</f>
        <v>113638.98</v>
      </c>
      <c r="AC94" s="51"/>
    </row>
    <row r="95" spans="1:29" s="1" customFormat="1" ht="13.5" customHeight="1">
      <c r="A95" s="14" t="s">
        <v>125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5" t="s">
        <v>95</v>
      </c>
      <c r="M95" s="15"/>
      <c r="N95" s="15"/>
      <c r="O95" s="15" t="s">
        <v>151</v>
      </c>
      <c r="P95" s="15"/>
      <c r="Q95" s="15"/>
      <c r="R95" s="23" t="s">
        <v>126</v>
      </c>
      <c r="S95" s="23"/>
      <c r="T95" s="17">
        <f>283473.1</f>
        <v>283473.1</v>
      </c>
      <c r="U95" s="17"/>
      <c r="V95" s="17"/>
      <c r="W95" s="17">
        <f>0</f>
        <v>0</v>
      </c>
      <c r="X95" s="17"/>
      <c r="Y95" s="17"/>
      <c r="Z95" s="17"/>
      <c r="AA95" s="17"/>
      <c r="AB95" s="51">
        <f>283473.1</f>
        <v>283473.1</v>
      </c>
      <c r="AC95" s="51"/>
    </row>
    <row r="96" spans="1:29" s="1" customFormat="1" ht="13.5" customHeight="1">
      <c r="A96" s="14" t="s">
        <v>114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5" t="s">
        <v>95</v>
      </c>
      <c r="M96" s="15"/>
      <c r="N96" s="15"/>
      <c r="O96" s="15" t="s">
        <v>151</v>
      </c>
      <c r="P96" s="15"/>
      <c r="Q96" s="15"/>
      <c r="R96" s="23" t="s">
        <v>116</v>
      </c>
      <c r="S96" s="23"/>
      <c r="T96" s="17">
        <f>2932568.1</f>
        <v>2932568.1</v>
      </c>
      <c r="U96" s="17"/>
      <c r="V96" s="17"/>
      <c r="W96" s="17">
        <f>356130.04</f>
        <v>356130.04</v>
      </c>
      <c r="X96" s="17"/>
      <c r="Y96" s="17"/>
      <c r="Z96" s="17"/>
      <c r="AA96" s="17"/>
      <c r="AB96" s="51">
        <f>2576438.06</f>
        <v>2576438.06</v>
      </c>
      <c r="AC96" s="51"/>
    </row>
    <row r="97" spans="1:29" s="1" customFormat="1" ht="13.5" customHeight="1">
      <c r="A97" s="14" t="s">
        <v>127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5" t="s">
        <v>95</v>
      </c>
      <c r="M97" s="15"/>
      <c r="N97" s="15"/>
      <c r="O97" s="15" t="s">
        <v>151</v>
      </c>
      <c r="P97" s="15"/>
      <c r="Q97" s="15"/>
      <c r="R97" s="23" t="s">
        <v>128</v>
      </c>
      <c r="S97" s="23"/>
      <c r="T97" s="17">
        <f>70000</f>
        <v>70000</v>
      </c>
      <c r="U97" s="17"/>
      <c r="V97" s="17"/>
      <c r="W97" s="21" t="s">
        <v>48</v>
      </c>
      <c r="X97" s="21"/>
      <c r="Y97" s="21"/>
      <c r="Z97" s="21"/>
      <c r="AA97" s="21"/>
      <c r="AB97" s="51">
        <f>70000</f>
        <v>70000</v>
      </c>
      <c r="AC97" s="51"/>
    </row>
    <row r="98" spans="1:29" s="1" customFormat="1" ht="13.5" customHeight="1">
      <c r="A98" s="14" t="s">
        <v>114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5" t="s">
        <v>95</v>
      </c>
      <c r="M98" s="15"/>
      <c r="N98" s="15"/>
      <c r="O98" s="15" t="s">
        <v>152</v>
      </c>
      <c r="P98" s="15"/>
      <c r="Q98" s="15"/>
      <c r="R98" s="23" t="s">
        <v>116</v>
      </c>
      <c r="S98" s="23"/>
      <c r="T98" s="17">
        <f>500000</f>
        <v>500000</v>
      </c>
      <c r="U98" s="17"/>
      <c r="V98" s="17"/>
      <c r="W98" s="21" t="s">
        <v>48</v>
      </c>
      <c r="X98" s="21"/>
      <c r="Y98" s="21"/>
      <c r="Z98" s="21"/>
      <c r="AA98" s="21"/>
      <c r="AB98" s="51">
        <f>500000</f>
        <v>500000</v>
      </c>
      <c r="AC98" s="51"/>
    </row>
    <row r="99" spans="1:29" s="1" customFormat="1" ht="13.5" customHeight="1">
      <c r="A99" s="14" t="s">
        <v>108</v>
      </c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5" t="s">
        <v>95</v>
      </c>
      <c r="M99" s="15"/>
      <c r="N99" s="15"/>
      <c r="O99" s="15" t="s">
        <v>153</v>
      </c>
      <c r="P99" s="15"/>
      <c r="Q99" s="15"/>
      <c r="R99" s="23" t="s">
        <v>110</v>
      </c>
      <c r="S99" s="23"/>
      <c r="T99" s="17">
        <f>70000</f>
        <v>70000</v>
      </c>
      <c r="U99" s="17"/>
      <c r="V99" s="17"/>
      <c r="W99" s="21" t="s">
        <v>48</v>
      </c>
      <c r="X99" s="21"/>
      <c r="Y99" s="21"/>
      <c r="Z99" s="21"/>
      <c r="AA99" s="21"/>
      <c r="AB99" s="51">
        <f>70000</f>
        <v>70000</v>
      </c>
      <c r="AC99" s="51"/>
    </row>
    <row r="100" spans="1:29" s="1" customFormat="1" ht="13.5" customHeight="1">
      <c r="A100" s="14" t="s">
        <v>154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5" t="s">
        <v>95</v>
      </c>
      <c r="M100" s="15"/>
      <c r="N100" s="15"/>
      <c r="O100" s="15" t="s">
        <v>155</v>
      </c>
      <c r="P100" s="15"/>
      <c r="Q100" s="15"/>
      <c r="R100" s="23" t="s">
        <v>156</v>
      </c>
      <c r="S100" s="23"/>
      <c r="T100" s="17">
        <f>10383857</f>
        <v>10383857</v>
      </c>
      <c r="U100" s="17"/>
      <c r="V100" s="17"/>
      <c r="W100" s="17">
        <f>4760072.89</f>
        <v>4760072.89</v>
      </c>
      <c r="X100" s="17"/>
      <c r="Y100" s="17"/>
      <c r="Z100" s="17"/>
      <c r="AA100" s="17"/>
      <c r="AB100" s="51">
        <f>5623784.11</f>
        <v>5623784.11</v>
      </c>
      <c r="AC100" s="51"/>
    </row>
    <row r="101" spans="1:29" s="1" customFormat="1" ht="15" customHeight="1">
      <c r="A101" s="41" t="s">
        <v>157</v>
      </c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8" t="s">
        <v>158</v>
      </c>
      <c r="M101" s="48"/>
      <c r="N101" s="48"/>
      <c r="O101" s="48" t="s">
        <v>37</v>
      </c>
      <c r="P101" s="48"/>
      <c r="Q101" s="48"/>
      <c r="R101" s="49" t="s">
        <v>37</v>
      </c>
      <c r="S101" s="49"/>
      <c r="T101" s="50">
        <f>-25036870.31</f>
        <v>-25036870.31</v>
      </c>
      <c r="U101" s="50"/>
      <c r="V101" s="50"/>
      <c r="W101" s="50">
        <f>7404968.97</f>
        <v>7404968.97</v>
      </c>
      <c r="X101" s="50"/>
      <c r="Y101" s="50"/>
      <c r="Z101" s="50"/>
      <c r="AA101" s="50"/>
      <c r="AB101" s="52" t="s">
        <v>37</v>
      </c>
      <c r="AC101" s="52"/>
    </row>
    <row r="102" spans="1:29" s="1" customFormat="1" ht="13.5" customHeight="1">
      <c r="A102" s="8" t="s">
        <v>11</v>
      </c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</row>
    <row r="103" spans="1:29" s="1" customFormat="1" ht="13.5" customHeight="1">
      <c r="A103" s="44" t="s">
        <v>159</v>
      </c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</row>
    <row r="104" spans="1:29" s="1" customFormat="1" ht="45.75" customHeight="1">
      <c r="A104" s="45" t="s">
        <v>23</v>
      </c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 t="s">
        <v>24</v>
      </c>
      <c r="N104" s="45"/>
      <c r="O104" s="45"/>
      <c r="P104" s="45" t="s">
        <v>160</v>
      </c>
      <c r="Q104" s="45"/>
      <c r="R104" s="45"/>
      <c r="S104" s="46" t="s">
        <v>26</v>
      </c>
      <c r="T104" s="46"/>
      <c r="U104" s="46"/>
      <c r="V104" s="46" t="s">
        <v>27</v>
      </c>
      <c r="W104" s="46"/>
      <c r="X104" s="46"/>
      <c r="Y104" s="46"/>
      <c r="Z104" s="46"/>
      <c r="AA104" s="47" t="s">
        <v>28</v>
      </c>
      <c r="AB104" s="47"/>
      <c r="AC104" s="47"/>
    </row>
    <row r="105" spans="1:29" s="1" customFormat="1" ht="12.75" customHeight="1">
      <c r="A105" s="42" t="s">
        <v>29</v>
      </c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 t="s">
        <v>30</v>
      </c>
      <c r="N105" s="42"/>
      <c r="O105" s="42"/>
      <c r="P105" s="42" t="s">
        <v>31</v>
      </c>
      <c r="Q105" s="42"/>
      <c r="R105" s="42"/>
      <c r="S105" s="43" t="s">
        <v>32</v>
      </c>
      <c r="T105" s="43"/>
      <c r="U105" s="43"/>
      <c r="V105" s="43" t="s">
        <v>33</v>
      </c>
      <c r="W105" s="43"/>
      <c r="X105" s="43"/>
      <c r="Y105" s="43"/>
      <c r="Z105" s="43"/>
      <c r="AA105" s="35" t="s">
        <v>34</v>
      </c>
      <c r="AB105" s="35"/>
      <c r="AC105" s="35"/>
    </row>
    <row r="106" spans="1:29" s="1" customFormat="1" ht="13.5" customHeight="1">
      <c r="A106" s="36" t="s">
        <v>161</v>
      </c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7" t="s">
        <v>162</v>
      </c>
      <c r="N106" s="37"/>
      <c r="O106" s="37"/>
      <c r="P106" s="37" t="s">
        <v>37</v>
      </c>
      <c r="Q106" s="37"/>
      <c r="R106" s="37"/>
      <c r="S106" s="38">
        <f>25036870.31</f>
        <v>25036870.31</v>
      </c>
      <c r="T106" s="38"/>
      <c r="U106" s="38"/>
      <c r="V106" s="39">
        <f>-7404968.97</f>
        <v>-7404968.97</v>
      </c>
      <c r="W106" s="39"/>
      <c r="X106" s="39"/>
      <c r="Y106" s="39"/>
      <c r="Z106" s="39"/>
      <c r="AA106" s="40" t="s">
        <v>37</v>
      </c>
      <c r="AB106" s="40"/>
      <c r="AC106" s="40"/>
    </row>
    <row r="107" spans="1:29" s="1" customFormat="1" ht="13.5" customHeight="1">
      <c r="A107" s="33" t="s">
        <v>163</v>
      </c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24" t="s">
        <v>11</v>
      </c>
      <c r="N107" s="24"/>
      <c r="O107" s="24"/>
      <c r="P107" s="24" t="s">
        <v>11</v>
      </c>
      <c r="Q107" s="24"/>
      <c r="R107" s="24"/>
      <c r="S107" s="25" t="s">
        <v>11</v>
      </c>
      <c r="T107" s="25"/>
      <c r="U107" s="25"/>
      <c r="V107" s="34" t="s">
        <v>11</v>
      </c>
      <c r="W107" s="34"/>
      <c r="X107" s="34"/>
      <c r="Y107" s="34"/>
      <c r="Z107" s="34"/>
      <c r="AA107" s="26" t="s">
        <v>11</v>
      </c>
      <c r="AB107" s="26"/>
      <c r="AC107" s="26"/>
    </row>
    <row r="108" spans="1:29" s="1" customFormat="1" ht="13.5" customHeight="1">
      <c r="A108" s="27" t="s">
        <v>164</v>
      </c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8" t="s">
        <v>165</v>
      </c>
      <c r="N108" s="28"/>
      <c r="O108" s="28"/>
      <c r="P108" s="29" t="s">
        <v>37</v>
      </c>
      <c r="Q108" s="29"/>
      <c r="R108" s="29"/>
      <c r="S108" s="30" t="s">
        <v>48</v>
      </c>
      <c r="T108" s="30"/>
      <c r="U108" s="30"/>
      <c r="V108" s="31" t="s">
        <v>48</v>
      </c>
      <c r="W108" s="31"/>
      <c r="X108" s="31"/>
      <c r="Y108" s="31"/>
      <c r="Z108" s="31"/>
      <c r="AA108" s="32" t="s">
        <v>48</v>
      </c>
      <c r="AB108" s="32"/>
      <c r="AC108" s="32"/>
    </row>
    <row r="109" spans="1:29" s="1" customFormat="1" ht="13.5" customHeight="1">
      <c r="A109" s="23" t="s">
        <v>11</v>
      </c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</row>
    <row r="110" spans="1:29" s="1" customFormat="1" ht="13.5" customHeight="1">
      <c r="A110" s="14" t="s">
        <v>166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24" t="s">
        <v>167</v>
      </c>
      <c r="N110" s="24"/>
      <c r="O110" s="24"/>
      <c r="P110" s="24" t="s">
        <v>37</v>
      </c>
      <c r="Q110" s="24"/>
      <c r="R110" s="24"/>
      <c r="S110" s="25" t="s">
        <v>48</v>
      </c>
      <c r="T110" s="25"/>
      <c r="U110" s="25"/>
      <c r="V110" s="21" t="s">
        <v>48</v>
      </c>
      <c r="W110" s="21"/>
      <c r="X110" s="21"/>
      <c r="Y110" s="21"/>
      <c r="Z110" s="21"/>
      <c r="AA110" s="26" t="s">
        <v>48</v>
      </c>
      <c r="AB110" s="26"/>
      <c r="AC110" s="26"/>
    </row>
    <row r="111" spans="1:29" s="1" customFormat="1" ht="13.5" customHeight="1">
      <c r="A111" s="14" t="s">
        <v>11</v>
      </c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5" t="s">
        <v>167</v>
      </c>
      <c r="N111" s="15"/>
      <c r="O111" s="15"/>
      <c r="P111" s="15" t="s">
        <v>11</v>
      </c>
      <c r="Q111" s="15"/>
      <c r="R111" s="15"/>
      <c r="S111" s="20" t="s">
        <v>48</v>
      </c>
      <c r="T111" s="20"/>
      <c r="U111" s="20"/>
      <c r="V111" s="21" t="s">
        <v>48</v>
      </c>
      <c r="W111" s="21"/>
      <c r="X111" s="21"/>
      <c r="Y111" s="21"/>
      <c r="Z111" s="21"/>
      <c r="AA111" s="22" t="s">
        <v>48</v>
      </c>
      <c r="AB111" s="22"/>
      <c r="AC111" s="22"/>
    </row>
    <row r="112" spans="1:29" s="1" customFormat="1" ht="13.5" customHeight="1">
      <c r="A112" s="14" t="s">
        <v>168</v>
      </c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5" t="s">
        <v>169</v>
      </c>
      <c r="N112" s="15"/>
      <c r="O112" s="15"/>
      <c r="P112" s="15" t="s">
        <v>170</v>
      </c>
      <c r="Q112" s="15"/>
      <c r="R112" s="15"/>
      <c r="S112" s="16">
        <f>25036870.31</f>
        <v>25036870.31</v>
      </c>
      <c r="T112" s="16"/>
      <c r="U112" s="16"/>
      <c r="V112" s="17">
        <f>V113+V114</f>
        <v>-7404968.970000001</v>
      </c>
      <c r="W112" s="17"/>
      <c r="X112" s="17"/>
      <c r="Y112" s="17"/>
      <c r="Z112" s="17"/>
      <c r="AA112" s="19">
        <f>32441839.28</f>
        <v>32441839.28</v>
      </c>
      <c r="AB112" s="19"/>
      <c r="AC112" s="19"/>
    </row>
    <row r="113" spans="1:29" s="1" customFormat="1" ht="13.5" customHeight="1">
      <c r="A113" s="14" t="s">
        <v>171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5" t="s">
        <v>172</v>
      </c>
      <c r="N113" s="15"/>
      <c r="O113" s="15"/>
      <c r="P113" s="15" t="s">
        <v>173</v>
      </c>
      <c r="Q113" s="15"/>
      <c r="R113" s="15"/>
      <c r="S113" s="16">
        <f>-39302198</f>
        <v>-39302198</v>
      </c>
      <c r="T113" s="16"/>
      <c r="U113" s="16"/>
      <c r="V113" s="17">
        <f>-V12</f>
        <v>-20414150.66</v>
      </c>
      <c r="W113" s="17"/>
      <c r="X113" s="17"/>
      <c r="Y113" s="17"/>
      <c r="Z113" s="17"/>
      <c r="AA113" s="18" t="s">
        <v>37</v>
      </c>
      <c r="AB113" s="18"/>
      <c r="AC113" s="18"/>
    </row>
    <row r="114" spans="1:29" s="1" customFormat="1" ht="13.5" customHeight="1">
      <c r="A114" s="14" t="s">
        <v>174</v>
      </c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5" t="s">
        <v>175</v>
      </c>
      <c r="N114" s="15"/>
      <c r="O114" s="15"/>
      <c r="P114" s="15" t="s">
        <v>176</v>
      </c>
      <c r="Q114" s="15"/>
      <c r="R114" s="15"/>
      <c r="S114" s="16">
        <f>64339068.31</f>
        <v>64339068.31</v>
      </c>
      <c r="T114" s="16"/>
      <c r="U114" s="16"/>
      <c r="V114" s="17">
        <f>W48</f>
        <v>13009181.69</v>
      </c>
      <c r="W114" s="17"/>
      <c r="X114" s="17"/>
      <c r="Y114" s="17"/>
      <c r="Z114" s="17"/>
      <c r="AA114" s="18" t="s">
        <v>37</v>
      </c>
      <c r="AB114" s="18"/>
      <c r="AC114" s="18"/>
    </row>
    <row r="115" spans="1:29" s="1" customFormat="1" ht="13.5" customHeight="1">
      <c r="A115" s="13" t="s">
        <v>11</v>
      </c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</row>
    <row r="116" spans="1:29" s="1" customFormat="1" ht="13.5" customHeight="1">
      <c r="A116" s="8" t="s">
        <v>184</v>
      </c>
      <c r="B116" s="8"/>
      <c r="C116" s="8"/>
      <c r="D116" s="8"/>
      <c r="E116" s="8"/>
      <c r="F116" s="8"/>
      <c r="G116" s="8"/>
      <c r="H116" s="8"/>
      <c r="I116" s="12" t="s">
        <v>11</v>
      </c>
      <c r="J116" s="12"/>
      <c r="K116" s="12"/>
      <c r="L116" s="12"/>
      <c r="M116" s="12"/>
      <c r="N116" s="12"/>
      <c r="O116" s="12"/>
      <c r="P116" s="12" t="s">
        <v>185</v>
      </c>
      <c r="Q116" s="12"/>
      <c r="R116" s="12"/>
      <c r="S116" s="12"/>
      <c r="T116" s="12"/>
      <c r="U116" s="8" t="s">
        <v>11</v>
      </c>
      <c r="V116" s="8"/>
      <c r="W116" s="8"/>
      <c r="X116" s="8"/>
      <c r="Y116" s="8"/>
      <c r="Z116" s="8"/>
      <c r="AA116" s="8"/>
      <c r="AB116" s="8"/>
      <c r="AC116" s="8"/>
    </row>
    <row r="117" spans="1:29" s="1" customFormat="1" ht="13.5" customHeight="1">
      <c r="A117" s="8" t="s">
        <v>11</v>
      </c>
      <c r="B117" s="8"/>
      <c r="C117" s="8"/>
      <c r="D117" s="8"/>
      <c r="E117" s="8"/>
      <c r="F117" s="8"/>
      <c r="G117" s="8"/>
      <c r="H117" s="8"/>
      <c r="I117" s="5" t="s">
        <v>11</v>
      </c>
      <c r="J117" s="11" t="s">
        <v>177</v>
      </c>
      <c r="K117" s="11"/>
      <c r="L117" s="11"/>
      <c r="M117" s="11"/>
      <c r="N117" s="8" t="s">
        <v>11</v>
      </c>
      <c r="O117" s="8"/>
      <c r="P117" s="5" t="s">
        <v>11</v>
      </c>
      <c r="Q117" s="11" t="s">
        <v>178</v>
      </c>
      <c r="R117" s="11"/>
      <c r="S117" s="11"/>
      <c r="T117" s="8" t="s">
        <v>11</v>
      </c>
      <c r="U117" s="8"/>
      <c r="V117" s="8"/>
      <c r="W117" s="8"/>
      <c r="X117" s="8"/>
      <c r="Y117" s="8"/>
      <c r="Z117" s="8"/>
      <c r="AA117" s="8"/>
      <c r="AB117" s="8"/>
      <c r="AC117" s="8"/>
    </row>
    <row r="118" spans="1:29" s="1" customFormat="1" ht="7.5" customHeight="1">
      <c r="A118" s="8" t="s">
        <v>11</v>
      </c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</row>
    <row r="119" spans="1:29" s="1" customFormat="1" ht="13.5" customHeight="1">
      <c r="A119" s="8" t="s">
        <v>179</v>
      </c>
      <c r="B119" s="8"/>
      <c r="C119" s="8"/>
      <c r="D119" s="8"/>
      <c r="E119" s="8"/>
      <c r="F119" s="8"/>
      <c r="G119" s="8"/>
      <c r="H119" s="8"/>
      <c r="I119" s="12" t="s">
        <v>11</v>
      </c>
      <c r="J119" s="12"/>
      <c r="K119" s="12"/>
      <c r="L119" s="12"/>
      <c r="M119" s="12"/>
      <c r="N119" s="12"/>
      <c r="O119" s="12"/>
      <c r="P119" s="12" t="s">
        <v>180</v>
      </c>
      <c r="Q119" s="12"/>
      <c r="R119" s="12"/>
      <c r="S119" s="12"/>
      <c r="T119" s="12"/>
      <c r="U119" s="8" t="s">
        <v>11</v>
      </c>
      <c r="V119" s="8"/>
      <c r="W119" s="8"/>
      <c r="X119" s="8"/>
      <c r="Y119" s="8"/>
      <c r="Z119" s="8"/>
      <c r="AA119" s="8"/>
      <c r="AB119" s="8"/>
      <c r="AC119" s="8"/>
    </row>
    <row r="120" spans="1:29" s="1" customFormat="1" ht="13.5" customHeight="1">
      <c r="A120" s="8" t="s">
        <v>11</v>
      </c>
      <c r="B120" s="8"/>
      <c r="C120" s="8"/>
      <c r="D120" s="8"/>
      <c r="E120" s="8"/>
      <c r="F120" s="8"/>
      <c r="G120" s="8"/>
      <c r="H120" s="8"/>
      <c r="I120" s="5" t="s">
        <v>11</v>
      </c>
      <c r="J120" s="11" t="s">
        <v>177</v>
      </c>
      <c r="K120" s="11"/>
      <c r="L120" s="11"/>
      <c r="M120" s="11"/>
      <c r="N120" s="8" t="s">
        <v>11</v>
      </c>
      <c r="O120" s="8"/>
      <c r="P120" s="5" t="s">
        <v>11</v>
      </c>
      <c r="Q120" s="11" t="s">
        <v>178</v>
      </c>
      <c r="R120" s="11"/>
      <c r="S120" s="11"/>
      <c r="T120" s="8" t="s">
        <v>11</v>
      </c>
      <c r="U120" s="8"/>
      <c r="V120" s="8"/>
      <c r="W120" s="8"/>
      <c r="X120" s="8"/>
      <c r="Y120" s="8"/>
      <c r="Z120" s="8"/>
      <c r="AA120" s="8"/>
      <c r="AB120" s="8"/>
      <c r="AC120" s="8"/>
    </row>
    <row r="121" spans="1:29" s="1" customFormat="1" ht="7.5" customHeight="1">
      <c r="A121" s="8" t="s">
        <v>11</v>
      </c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</row>
    <row r="122" spans="1:29" s="1" customFormat="1" ht="13.5" customHeight="1">
      <c r="A122" s="8" t="s">
        <v>181</v>
      </c>
      <c r="B122" s="8"/>
      <c r="C122" s="12" t="s">
        <v>179</v>
      </c>
      <c r="D122" s="12"/>
      <c r="E122" s="12"/>
      <c r="F122" s="12"/>
      <c r="G122" s="12"/>
      <c r="H122" s="12"/>
      <c r="I122" s="12" t="s">
        <v>11</v>
      </c>
      <c r="J122" s="12"/>
      <c r="K122" s="12"/>
      <c r="L122" s="12"/>
      <c r="M122" s="12"/>
      <c r="N122" s="12"/>
      <c r="O122" s="12"/>
      <c r="P122" s="12" t="s">
        <v>180</v>
      </c>
      <c r="Q122" s="12"/>
      <c r="R122" s="12"/>
      <c r="S122" s="12"/>
      <c r="T122" s="12"/>
      <c r="U122" s="8" t="s">
        <v>11</v>
      </c>
      <c r="V122" s="8"/>
      <c r="W122" s="8"/>
      <c r="X122" s="8"/>
      <c r="Y122" s="8"/>
      <c r="Z122" s="8"/>
      <c r="AA122" s="8"/>
      <c r="AB122" s="8"/>
      <c r="AC122" s="8"/>
    </row>
    <row r="123" spans="1:29" s="1" customFormat="1" ht="13.5" customHeight="1">
      <c r="A123" s="8" t="s">
        <v>11</v>
      </c>
      <c r="B123" s="8"/>
      <c r="C123" s="5" t="s">
        <v>11</v>
      </c>
      <c r="D123" s="11" t="s">
        <v>182</v>
      </c>
      <c r="E123" s="11"/>
      <c r="F123" s="11"/>
      <c r="G123" s="11"/>
      <c r="H123" s="5" t="s">
        <v>11</v>
      </c>
      <c r="I123" s="5" t="s">
        <v>11</v>
      </c>
      <c r="J123" s="11" t="s">
        <v>177</v>
      </c>
      <c r="K123" s="11"/>
      <c r="L123" s="11"/>
      <c r="M123" s="11"/>
      <c r="N123" s="8" t="s">
        <v>11</v>
      </c>
      <c r="O123" s="8"/>
      <c r="P123" s="5" t="s">
        <v>11</v>
      </c>
      <c r="Q123" s="11" t="s">
        <v>178</v>
      </c>
      <c r="R123" s="11"/>
      <c r="S123" s="11"/>
      <c r="T123" s="8" t="s">
        <v>11</v>
      </c>
      <c r="U123" s="8"/>
      <c r="V123" s="8"/>
      <c r="W123" s="8"/>
      <c r="X123" s="8"/>
      <c r="Y123" s="8"/>
      <c r="Z123" s="8"/>
      <c r="AA123" s="8"/>
      <c r="AB123" s="8"/>
      <c r="AC123" s="8"/>
    </row>
    <row r="124" spans="1:29" s="1" customFormat="1" ht="15.75" customHeight="1">
      <c r="A124" s="8" t="s">
        <v>11</v>
      </c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</row>
    <row r="125" spans="1:29" s="1" customFormat="1" ht="13.5" customHeight="1">
      <c r="A125" s="9" t="s">
        <v>183</v>
      </c>
      <c r="B125" s="9"/>
      <c r="C125" s="9"/>
      <c r="D125" s="9"/>
      <c r="E125" s="9"/>
      <c r="F125" s="9"/>
      <c r="G125" s="9"/>
      <c r="H125" s="9"/>
      <c r="I125" s="9"/>
      <c r="J125" s="9"/>
      <c r="K125" s="8" t="s">
        <v>11</v>
      </c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</row>
    <row r="126" spans="1:29" s="1" customFormat="1" ht="13.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</row>
  </sheetData>
  <sheetProtection/>
  <mergeCells count="713">
    <mergeCell ref="A1:AB1"/>
    <mergeCell ref="A2:AB2"/>
    <mergeCell ref="A3:Y3"/>
    <mergeCell ref="Z3:AB3"/>
    <mergeCell ref="A4:E5"/>
    <mergeCell ref="F4:X5"/>
    <mergeCell ref="Y4:AB4"/>
    <mergeCell ref="Y5:AB5"/>
    <mergeCell ref="A6:F6"/>
    <mergeCell ref="G6:X6"/>
    <mergeCell ref="Y6:AB6"/>
    <mergeCell ref="B7:AB7"/>
    <mergeCell ref="A8:D8"/>
    <mergeCell ref="E8:W8"/>
    <mergeCell ref="X8:AB8"/>
    <mergeCell ref="A9:AC9"/>
    <mergeCell ref="A10:L10"/>
    <mergeCell ref="M10:O10"/>
    <mergeCell ref="P10:R10"/>
    <mergeCell ref="S10:U10"/>
    <mergeCell ref="V10:Z10"/>
    <mergeCell ref="AA10:AC10"/>
    <mergeCell ref="A11:L11"/>
    <mergeCell ref="M11:O11"/>
    <mergeCell ref="P11:R11"/>
    <mergeCell ref="S11:U11"/>
    <mergeCell ref="V11:Z11"/>
    <mergeCell ref="AA11:AC11"/>
    <mergeCell ref="A12:L12"/>
    <mergeCell ref="M12:O12"/>
    <mergeCell ref="P12:R12"/>
    <mergeCell ref="S12:U12"/>
    <mergeCell ref="V12:Z12"/>
    <mergeCell ref="AA12:AC12"/>
    <mergeCell ref="A13:L13"/>
    <mergeCell ref="M13:O13"/>
    <mergeCell ref="P13:R13"/>
    <mergeCell ref="S13:U13"/>
    <mergeCell ref="V13:Z13"/>
    <mergeCell ref="AA13:AC13"/>
    <mergeCell ref="A14:L14"/>
    <mergeCell ref="M14:O14"/>
    <mergeCell ref="P14:R14"/>
    <mergeCell ref="S14:U14"/>
    <mergeCell ref="V14:Z14"/>
    <mergeCell ref="AA14:AC14"/>
    <mergeCell ref="A15:L15"/>
    <mergeCell ref="M15:O15"/>
    <mergeCell ref="P15:R15"/>
    <mergeCell ref="S15:U15"/>
    <mergeCell ref="V15:Z15"/>
    <mergeCell ref="AA15:AC15"/>
    <mergeCell ref="A16:L16"/>
    <mergeCell ref="M16:O16"/>
    <mergeCell ref="P16:R16"/>
    <mergeCell ref="S16:U16"/>
    <mergeCell ref="V16:Z16"/>
    <mergeCell ref="AA16:AC16"/>
    <mergeCell ref="A17:L17"/>
    <mergeCell ref="M17:O17"/>
    <mergeCell ref="P17:R17"/>
    <mergeCell ref="S17:U17"/>
    <mergeCell ref="V17:Z17"/>
    <mergeCell ref="AA17:AC17"/>
    <mergeCell ref="A18:L18"/>
    <mergeCell ref="M18:O18"/>
    <mergeCell ref="P18:R18"/>
    <mergeCell ref="S18:U18"/>
    <mergeCell ref="V18:Z18"/>
    <mergeCell ref="AA18:AC18"/>
    <mergeCell ref="A19:L19"/>
    <mergeCell ref="M19:O19"/>
    <mergeCell ref="P19:R19"/>
    <mergeCell ref="S19:U19"/>
    <mergeCell ref="V19:Z19"/>
    <mergeCell ref="AA19:AC19"/>
    <mergeCell ref="A20:L20"/>
    <mergeCell ref="M20:O20"/>
    <mergeCell ref="P20:R20"/>
    <mergeCell ref="S20:U20"/>
    <mergeCell ref="V20:Z20"/>
    <mergeCell ref="AA20:AC20"/>
    <mergeCell ref="A21:L21"/>
    <mergeCell ref="M21:O21"/>
    <mergeCell ref="P21:R21"/>
    <mergeCell ref="S21:U21"/>
    <mergeCell ref="V21:Z21"/>
    <mergeCell ref="AA21:AC21"/>
    <mergeCell ref="A22:L22"/>
    <mergeCell ref="M22:O22"/>
    <mergeCell ref="P22:R22"/>
    <mergeCell ref="S22:U22"/>
    <mergeCell ref="V22:Z22"/>
    <mergeCell ref="AA22:AC22"/>
    <mergeCell ref="A23:L23"/>
    <mergeCell ref="M23:O23"/>
    <mergeCell ref="P23:R23"/>
    <mergeCell ref="S23:U23"/>
    <mergeCell ref="V23:Z23"/>
    <mergeCell ref="AA23:AC23"/>
    <mergeCell ref="A24:L24"/>
    <mergeCell ref="M24:O24"/>
    <mergeCell ref="P24:R24"/>
    <mergeCell ref="S24:U24"/>
    <mergeCell ref="V24:Z24"/>
    <mergeCell ref="AA24:AC24"/>
    <mergeCell ref="A25:L25"/>
    <mergeCell ref="M25:O25"/>
    <mergeCell ref="P25:R25"/>
    <mergeCell ref="S25:U25"/>
    <mergeCell ref="V25:Z25"/>
    <mergeCell ref="AA25:AC25"/>
    <mergeCell ref="A26:L26"/>
    <mergeCell ref="M26:O26"/>
    <mergeCell ref="P26:R26"/>
    <mergeCell ref="S26:U26"/>
    <mergeCell ref="V26:Z26"/>
    <mergeCell ref="AA26:AC26"/>
    <mergeCell ref="A27:L27"/>
    <mergeCell ref="M27:O27"/>
    <mergeCell ref="P27:R27"/>
    <mergeCell ref="S27:U27"/>
    <mergeCell ref="V27:Z27"/>
    <mergeCell ref="AA27:AC27"/>
    <mergeCell ref="A28:L28"/>
    <mergeCell ref="M28:O28"/>
    <mergeCell ref="P28:R28"/>
    <mergeCell ref="S28:U28"/>
    <mergeCell ref="V28:Z28"/>
    <mergeCell ref="AA28:AC28"/>
    <mergeCell ref="A29:L29"/>
    <mergeCell ref="M29:O29"/>
    <mergeCell ref="P29:R29"/>
    <mergeCell ref="S29:U29"/>
    <mergeCell ref="V29:Z29"/>
    <mergeCell ref="AA29:AC29"/>
    <mergeCell ref="A30:L30"/>
    <mergeCell ref="M30:O30"/>
    <mergeCell ref="P30:R30"/>
    <mergeCell ref="S30:U30"/>
    <mergeCell ref="V30:Z30"/>
    <mergeCell ref="AA30:AC30"/>
    <mergeCell ref="A31:L31"/>
    <mergeCell ref="M31:O31"/>
    <mergeCell ref="P31:R31"/>
    <mergeCell ref="S31:U31"/>
    <mergeCell ref="V31:Z31"/>
    <mergeCell ref="AA31:AC31"/>
    <mergeCell ref="A32:L32"/>
    <mergeCell ref="M32:O32"/>
    <mergeCell ref="P32:R32"/>
    <mergeCell ref="S32:U32"/>
    <mergeCell ref="V32:Z32"/>
    <mergeCell ref="AA32:AC32"/>
    <mergeCell ref="A33:L33"/>
    <mergeCell ref="M33:O33"/>
    <mergeCell ref="P33:R33"/>
    <mergeCell ref="S33:U33"/>
    <mergeCell ref="V33:Z33"/>
    <mergeCell ref="AA33:AC33"/>
    <mergeCell ref="A34:L34"/>
    <mergeCell ref="M34:O34"/>
    <mergeCell ref="P34:R34"/>
    <mergeCell ref="S34:U34"/>
    <mergeCell ref="V34:Z34"/>
    <mergeCell ref="AA34:AC34"/>
    <mergeCell ref="A35:L35"/>
    <mergeCell ref="M35:O35"/>
    <mergeCell ref="P35:R35"/>
    <mergeCell ref="S35:U35"/>
    <mergeCell ref="V35:Z35"/>
    <mergeCell ref="AA35:AC35"/>
    <mergeCell ref="A36:L36"/>
    <mergeCell ref="M36:O36"/>
    <mergeCell ref="P36:R36"/>
    <mergeCell ref="S36:U36"/>
    <mergeCell ref="V36:Z36"/>
    <mergeCell ref="AA36:AC36"/>
    <mergeCell ref="A37:L37"/>
    <mergeCell ref="M37:O37"/>
    <mergeCell ref="P37:R37"/>
    <mergeCell ref="S37:U37"/>
    <mergeCell ref="V37:Z37"/>
    <mergeCell ref="AA37:AC37"/>
    <mergeCell ref="A38:L38"/>
    <mergeCell ref="M38:O38"/>
    <mergeCell ref="P38:R38"/>
    <mergeCell ref="S38:U38"/>
    <mergeCell ref="V38:Z38"/>
    <mergeCell ref="AA38:AC38"/>
    <mergeCell ref="A39:L39"/>
    <mergeCell ref="M39:O39"/>
    <mergeCell ref="P39:R39"/>
    <mergeCell ref="S39:U39"/>
    <mergeCell ref="V39:Z39"/>
    <mergeCell ref="AA39:AC39"/>
    <mergeCell ref="A40:L40"/>
    <mergeCell ref="M40:O40"/>
    <mergeCell ref="P40:R40"/>
    <mergeCell ref="S40:U40"/>
    <mergeCell ref="V40:Z40"/>
    <mergeCell ref="AA40:AC40"/>
    <mergeCell ref="A41:L41"/>
    <mergeCell ref="M41:O41"/>
    <mergeCell ref="P41:R41"/>
    <mergeCell ref="S41:U41"/>
    <mergeCell ref="V41:Z41"/>
    <mergeCell ref="AA41:AC41"/>
    <mergeCell ref="A42:L42"/>
    <mergeCell ref="M42:O42"/>
    <mergeCell ref="P42:R42"/>
    <mergeCell ref="S42:U42"/>
    <mergeCell ref="V42:Z42"/>
    <mergeCell ref="AA42:AC42"/>
    <mergeCell ref="T46:V46"/>
    <mergeCell ref="W46:AA46"/>
    <mergeCell ref="AB46:AC46"/>
    <mergeCell ref="A43:L43"/>
    <mergeCell ref="M43:O43"/>
    <mergeCell ref="P43:R43"/>
    <mergeCell ref="S43:U43"/>
    <mergeCell ref="V43:Z43"/>
    <mergeCell ref="AA43:AC43"/>
    <mergeCell ref="O47:Q47"/>
    <mergeCell ref="R47:S47"/>
    <mergeCell ref="T47:V47"/>
    <mergeCell ref="W47:AA47"/>
    <mergeCell ref="A44:AC44"/>
    <mergeCell ref="A45:AC45"/>
    <mergeCell ref="A46:K46"/>
    <mergeCell ref="L46:N46"/>
    <mergeCell ref="O46:Q46"/>
    <mergeCell ref="R46:S46"/>
    <mergeCell ref="AB47:AC47"/>
    <mergeCell ref="A48:K48"/>
    <mergeCell ref="L48:N48"/>
    <mergeCell ref="O48:Q48"/>
    <mergeCell ref="R48:S48"/>
    <mergeCell ref="T48:V48"/>
    <mergeCell ref="W48:AA48"/>
    <mergeCell ref="AB48:AC48"/>
    <mergeCell ref="A47:K47"/>
    <mergeCell ref="L47:N47"/>
    <mergeCell ref="W50:AA50"/>
    <mergeCell ref="AB50:AC50"/>
    <mergeCell ref="A49:K49"/>
    <mergeCell ref="L49:N49"/>
    <mergeCell ref="O49:Q49"/>
    <mergeCell ref="R49:S49"/>
    <mergeCell ref="T49:V49"/>
    <mergeCell ref="W49:AA49"/>
    <mergeCell ref="O51:Q51"/>
    <mergeCell ref="R51:S51"/>
    <mergeCell ref="T51:V51"/>
    <mergeCell ref="W51:AA51"/>
    <mergeCell ref="AB49:AC49"/>
    <mergeCell ref="A50:K50"/>
    <mergeCell ref="L50:N50"/>
    <mergeCell ref="O50:Q50"/>
    <mergeCell ref="R50:S50"/>
    <mergeCell ref="T50:V50"/>
    <mergeCell ref="AB51:AC51"/>
    <mergeCell ref="A52:K52"/>
    <mergeCell ref="L52:N52"/>
    <mergeCell ref="O52:Q52"/>
    <mergeCell ref="R52:S52"/>
    <mergeCell ref="T52:V52"/>
    <mergeCell ref="W52:AA52"/>
    <mergeCell ref="AB52:AC52"/>
    <mergeCell ref="A51:K51"/>
    <mergeCell ref="L51:N51"/>
    <mergeCell ref="W54:AA54"/>
    <mergeCell ref="AB54:AC54"/>
    <mergeCell ref="A53:K53"/>
    <mergeCell ref="L53:N53"/>
    <mergeCell ref="O53:Q53"/>
    <mergeCell ref="R53:S53"/>
    <mergeCell ref="T53:V53"/>
    <mergeCell ref="W53:AA53"/>
    <mergeCell ref="O55:Q55"/>
    <mergeCell ref="R55:S55"/>
    <mergeCell ref="T55:V55"/>
    <mergeCell ref="W55:AA55"/>
    <mergeCell ref="AB53:AC53"/>
    <mergeCell ref="A54:K54"/>
    <mergeCell ref="L54:N54"/>
    <mergeCell ref="O54:Q54"/>
    <mergeCell ref="R54:S54"/>
    <mergeCell ref="T54:V54"/>
    <mergeCell ref="AB55:AC55"/>
    <mergeCell ref="A56:K56"/>
    <mergeCell ref="L56:N56"/>
    <mergeCell ref="O56:Q56"/>
    <mergeCell ref="R56:S56"/>
    <mergeCell ref="T56:V56"/>
    <mergeCell ref="W56:AA56"/>
    <mergeCell ref="AB56:AC56"/>
    <mergeCell ref="A55:K55"/>
    <mergeCell ref="L55:N55"/>
    <mergeCell ref="W58:AA58"/>
    <mergeCell ref="AB58:AC58"/>
    <mergeCell ref="A57:K57"/>
    <mergeCell ref="L57:N57"/>
    <mergeCell ref="O57:Q57"/>
    <mergeCell ref="R57:S57"/>
    <mergeCell ref="T57:V57"/>
    <mergeCell ref="W57:AA57"/>
    <mergeCell ref="O59:Q59"/>
    <mergeCell ref="R59:S59"/>
    <mergeCell ref="T59:V59"/>
    <mergeCell ref="W59:AA59"/>
    <mergeCell ref="AB57:AC57"/>
    <mergeCell ref="A58:K58"/>
    <mergeCell ref="L58:N58"/>
    <mergeCell ref="O58:Q58"/>
    <mergeCell ref="R58:S58"/>
    <mergeCell ref="T58:V58"/>
    <mergeCell ref="AB59:AC59"/>
    <mergeCell ref="A60:K60"/>
    <mergeCell ref="L60:N60"/>
    <mergeCell ref="O60:Q60"/>
    <mergeCell ref="R60:S60"/>
    <mergeCell ref="T60:V60"/>
    <mergeCell ref="W60:AA60"/>
    <mergeCell ref="AB60:AC60"/>
    <mergeCell ref="A59:K59"/>
    <mergeCell ref="L59:N59"/>
    <mergeCell ref="W62:AA62"/>
    <mergeCell ref="AB62:AC62"/>
    <mergeCell ref="A61:K61"/>
    <mergeCell ref="L61:N61"/>
    <mergeCell ref="O61:Q61"/>
    <mergeCell ref="R61:S61"/>
    <mergeCell ref="T61:V61"/>
    <mergeCell ref="W61:AA61"/>
    <mergeCell ref="O63:Q63"/>
    <mergeCell ref="R63:S63"/>
    <mergeCell ref="T63:V63"/>
    <mergeCell ref="W63:AA63"/>
    <mergeCell ref="AB61:AC61"/>
    <mergeCell ref="A62:K62"/>
    <mergeCell ref="L62:N62"/>
    <mergeCell ref="O62:Q62"/>
    <mergeCell ref="R62:S62"/>
    <mergeCell ref="T62:V62"/>
    <mergeCell ref="AB63:AC63"/>
    <mergeCell ref="A64:K64"/>
    <mergeCell ref="L64:N64"/>
    <mergeCell ref="O64:Q64"/>
    <mergeCell ref="R64:S64"/>
    <mergeCell ref="T64:V64"/>
    <mergeCell ref="W64:AA64"/>
    <mergeCell ref="AB64:AC64"/>
    <mergeCell ref="A63:K63"/>
    <mergeCell ref="L63:N63"/>
    <mergeCell ref="W66:AA66"/>
    <mergeCell ref="AB66:AC66"/>
    <mergeCell ref="A65:K65"/>
    <mergeCell ref="L65:N65"/>
    <mergeCell ref="O65:Q65"/>
    <mergeCell ref="R65:S65"/>
    <mergeCell ref="T65:V65"/>
    <mergeCell ref="W65:AA65"/>
    <mergeCell ref="O67:Q67"/>
    <mergeCell ref="R67:S67"/>
    <mergeCell ref="T67:V67"/>
    <mergeCell ref="W67:AA67"/>
    <mergeCell ref="AB65:AC65"/>
    <mergeCell ref="A66:K66"/>
    <mergeCell ref="L66:N66"/>
    <mergeCell ref="O66:Q66"/>
    <mergeCell ref="R66:S66"/>
    <mergeCell ref="T66:V66"/>
    <mergeCell ref="AB67:AC67"/>
    <mergeCell ref="A68:K68"/>
    <mergeCell ref="L68:N68"/>
    <mergeCell ref="O68:Q68"/>
    <mergeCell ref="R68:S68"/>
    <mergeCell ref="T68:V68"/>
    <mergeCell ref="W68:AA68"/>
    <mergeCell ref="AB68:AC68"/>
    <mergeCell ref="A67:K67"/>
    <mergeCell ref="L67:N67"/>
    <mergeCell ref="W70:AA70"/>
    <mergeCell ref="AB70:AC70"/>
    <mergeCell ref="A69:K69"/>
    <mergeCell ref="L69:N69"/>
    <mergeCell ref="O69:Q69"/>
    <mergeCell ref="R69:S69"/>
    <mergeCell ref="T69:V69"/>
    <mergeCell ref="W69:AA69"/>
    <mergeCell ref="O71:Q71"/>
    <mergeCell ref="R71:S71"/>
    <mergeCell ref="T71:V71"/>
    <mergeCell ref="W71:AA71"/>
    <mergeCell ref="AB69:AC69"/>
    <mergeCell ref="A70:K70"/>
    <mergeCell ref="L70:N70"/>
    <mergeCell ref="O70:Q70"/>
    <mergeCell ref="R70:S70"/>
    <mergeCell ref="T70:V70"/>
    <mergeCell ref="AB71:AC71"/>
    <mergeCell ref="A72:K72"/>
    <mergeCell ref="L72:N72"/>
    <mergeCell ref="O72:Q72"/>
    <mergeCell ref="R72:S72"/>
    <mergeCell ref="T72:V72"/>
    <mergeCell ref="W72:AA72"/>
    <mergeCell ref="AB72:AC72"/>
    <mergeCell ref="A71:K71"/>
    <mergeCell ref="L71:N71"/>
    <mergeCell ref="W74:AA74"/>
    <mergeCell ref="AB74:AC74"/>
    <mergeCell ref="A73:K73"/>
    <mergeCell ref="L73:N73"/>
    <mergeCell ref="O73:Q73"/>
    <mergeCell ref="R73:S73"/>
    <mergeCell ref="T73:V73"/>
    <mergeCell ref="W73:AA73"/>
    <mergeCell ref="O75:Q75"/>
    <mergeCell ref="R75:S75"/>
    <mergeCell ref="T75:V75"/>
    <mergeCell ref="W75:AA75"/>
    <mergeCell ref="AB73:AC73"/>
    <mergeCell ref="A74:K74"/>
    <mergeCell ref="L74:N74"/>
    <mergeCell ref="O74:Q74"/>
    <mergeCell ref="R74:S74"/>
    <mergeCell ref="T74:V74"/>
    <mergeCell ref="AB75:AC75"/>
    <mergeCell ref="A76:K76"/>
    <mergeCell ref="L76:N76"/>
    <mergeCell ref="O76:Q76"/>
    <mergeCell ref="R76:S76"/>
    <mergeCell ref="T76:V76"/>
    <mergeCell ref="W76:AA76"/>
    <mergeCell ref="AB76:AC76"/>
    <mergeCell ref="A75:K75"/>
    <mergeCell ref="L75:N75"/>
    <mergeCell ref="W78:AA78"/>
    <mergeCell ref="AB78:AC78"/>
    <mergeCell ref="A77:K77"/>
    <mergeCell ref="L77:N77"/>
    <mergeCell ref="O77:Q77"/>
    <mergeCell ref="R77:S77"/>
    <mergeCell ref="T77:V77"/>
    <mergeCell ref="W77:AA77"/>
    <mergeCell ref="O79:Q79"/>
    <mergeCell ref="R79:S79"/>
    <mergeCell ref="T79:V79"/>
    <mergeCell ref="W79:AA79"/>
    <mergeCell ref="AB77:AC77"/>
    <mergeCell ref="A78:K78"/>
    <mergeCell ref="L78:N78"/>
    <mergeCell ref="O78:Q78"/>
    <mergeCell ref="R78:S78"/>
    <mergeCell ref="T78:V78"/>
    <mergeCell ref="AB79:AC79"/>
    <mergeCell ref="A80:K80"/>
    <mergeCell ref="L80:N80"/>
    <mergeCell ref="O80:Q80"/>
    <mergeCell ref="R80:S80"/>
    <mergeCell ref="T80:V80"/>
    <mergeCell ref="W80:AA80"/>
    <mergeCell ref="AB80:AC80"/>
    <mergeCell ref="A79:K79"/>
    <mergeCell ref="L79:N79"/>
    <mergeCell ref="W82:AA82"/>
    <mergeCell ref="AB82:AC82"/>
    <mergeCell ref="A81:K81"/>
    <mergeCell ref="L81:N81"/>
    <mergeCell ref="O81:Q81"/>
    <mergeCell ref="R81:S81"/>
    <mergeCell ref="T81:V81"/>
    <mergeCell ref="W81:AA81"/>
    <mergeCell ref="O83:Q83"/>
    <mergeCell ref="R83:S83"/>
    <mergeCell ref="T83:V83"/>
    <mergeCell ref="W83:AA83"/>
    <mergeCell ref="AB81:AC81"/>
    <mergeCell ref="A82:K82"/>
    <mergeCell ref="L82:N82"/>
    <mergeCell ref="O82:Q82"/>
    <mergeCell ref="R82:S82"/>
    <mergeCell ref="T82:V82"/>
    <mergeCell ref="AB83:AC83"/>
    <mergeCell ref="A84:K84"/>
    <mergeCell ref="L84:N84"/>
    <mergeCell ref="O84:Q84"/>
    <mergeCell ref="R84:S84"/>
    <mergeCell ref="T84:V84"/>
    <mergeCell ref="W84:AA84"/>
    <mergeCell ref="AB84:AC84"/>
    <mergeCell ref="A83:K83"/>
    <mergeCell ref="L83:N83"/>
    <mergeCell ref="W86:AA86"/>
    <mergeCell ref="AB86:AC86"/>
    <mergeCell ref="A85:K85"/>
    <mergeCell ref="L85:N85"/>
    <mergeCell ref="O85:Q85"/>
    <mergeCell ref="R85:S85"/>
    <mergeCell ref="T85:V85"/>
    <mergeCell ref="W85:AA85"/>
    <mergeCell ref="O87:Q87"/>
    <mergeCell ref="R87:S87"/>
    <mergeCell ref="T87:V87"/>
    <mergeCell ref="W87:AA87"/>
    <mergeCell ref="AB85:AC85"/>
    <mergeCell ref="A86:K86"/>
    <mergeCell ref="L86:N86"/>
    <mergeCell ref="O86:Q86"/>
    <mergeCell ref="R86:S86"/>
    <mergeCell ref="T86:V86"/>
    <mergeCell ref="AB87:AC87"/>
    <mergeCell ref="A88:K88"/>
    <mergeCell ref="L88:N88"/>
    <mergeCell ref="O88:Q88"/>
    <mergeCell ref="R88:S88"/>
    <mergeCell ref="T88:V88"/>
    <mergeCell ref="W88:AA88"/>
    <mergeCell ref="AB88:AC88"/>
    <mergeCell ref="A87:K87"/>
    <mergeCell ref="L87:N87"/>
    <mergeCell ref="W90:AA90"/>
    <mergeCell ref="AB90:AC90"/>
    <mergeCell ref="A89:K89"/>
    <mergeCell ref="L89:N89"/>
    <mergeCell ref="O89:Q89"/>
    <mergeCell ref="R89:S89"/>
    <mergeCell ref="T89:V89"/>
    <mergeCell ref="W89:AA89"/>
    <mergeCell ref="O91:Q91"/>
    <mergeCell ref="R91:S91"/>
    <mergeCell ref="T91:V91"/>
    <mergeCell ref="W91:AA91"/>
    <mergeCell ref="AB89:AC89"/>
    <mergeCell ref="A90:K90"/>
    <mergeCell ref="L90:N90"/>
    <mergeCell ref="O90:Q90"/>
    <mergeCell ref="R90:S90"/>
    <mergeCell ref="T90:V90"/>
    <mergeCell ref="AB91:AC91"/>
    <mergeCell ref="A92:K92"/>
    <mergeCell ref="L92:N92"/>
    <mergeCell ref="O92:Q92"/>
    <mergeCell ref="R92:S92"/>
    <mergeCell ref="T92:V92"/>
    <mergeCell ref="W92:AA92"/>
    <mergeCell ref="AB92:AC92"/>
    <mergeCell ref="A91:K91"/>
    <mergeCell ref="L91:N91"/>
    <mergeCell ref="W94:AA94"/>
    <mergeCell ref="AB94:AC94"/>
    <mergeCell ref="A93:K93"/>
    <mergeCell ref="L93:N93"/>
    <mergeCell ref="O93:Q93"/>
    <mergeCell ref="R93:S93"/>
    <mergeCell ref="T93:V93"/>
    <mergeCell ref="W93:AA93"/>
    <mergeCell ref="O95:Q95"/>
    <mergeCell ref="R95:S95"/>
    <mergeCell ref="T95:V95"/>
    <mergeCell ref="W95:AA95"/>
    <mergeCell ref="AB93:AC93"/>
    <mergeCell ref="A94:K94"/>
    <mergeCell ref="L94:N94"/>
    <mergeCell ref="O94:Q94"/>
    <mergeCell ref="R94:S94"/>
    <mergeCell ref="T94:V94"/>
    <mergeCell ref="AB95:AC95"/>
    <mergeCell ref="A96:K96"/>
    <mergeCell ref="L96:N96"/>
    <mergeCell ref="O96:Q96"/>
    <mergeCell ref="R96:S96"/>
    <mergeCell ref="T96:V96"/>
    <mergeCell ref="W96:AA96"/>
    <mergeCell ref="AB96:AC96"/>
    <mergeCell ref="A95:K95"/>
    <mergeCell ref="L95:N95"/>
    <mergeCell ref="A97:K97"/>
    <mergeCell ref="L97:N97"/>
    <mergeCell ref="O97:Q97"/>
    <mergeCell ref="R97:S97"/>
    <mergeCell ref="T97:V97"/>
    <mergeCell ref="W97:AA97"/>
    <mergeCell ref="A98:K98"/>
    <mergeCell ref="L98:N98"/>
    <mergeCell ref="O98:Q98"/>
    <mergeCell ref="R98:S98"/>
    <mergeCell ref="T98:V98"/>
    <mergeCell ref="W98:AA98"/>
    <mergeCell ref="L99:N99"/>
    <mergeCell ref="O99:Q99"/>
    <mergeCell ref="R99:S99"/>
    <mergeCell ref="T99:V99"/>
    <mergeCell ref="W99:AA99"/>
    <mergeCell ref="AB97:AC97"/>
    <mergeCell ref="AB98:AC98"/>
    <mergeCell ref="AB99:AC99"/>
    <mergeCell ref="AB100:AC100"/>
    <mergeCell ref="AB101:AC101"/>
    <mergeCell ref="A100:K100"/>
    <mergeCell ref="L100:N100"/>
    <mergeCell ref="O100:Q100"/>
    <mergeCell ref="R100:S100"/>
    <mergeCell ref="T100:V100"/>
    <mergeCell ref="W100:AA100"/>
    <mergeCell ref="A99:K99"/>
    <mergeCell ref="P104:R104"/>
    <mergeCell ref="S104:U104"/>
    <mergeCell ref="V104:Z104"/>
    <mergeCell ref="AA104:AC104"/>
    <mergeCell ref="L101:N101"/>
    <mergeCell ref="O101:Q101"/>
    <mergeCell ref="R101:S101"/>
    <mergeCell ref="T101:V101"/>
    <mergeCell ref="W101:AA101"/>
    <mergeCell ref="A101:K101"/>
    <mergeCell ref="A105:L105"/>
    <mergeCell ref="M105:O105"/>
    <mergeCell ref="P105:R105"/>
    <mergeCell ref="S105:U105"/>
    <mergeCell ref="V105:Z105"/>
    <mergeCell ref="A102:AC102"/>
    <mergeCell ref="A103:AC103"/>
    <mergeCell ref="A104:L104"/>
    <mergeCell ref="M104:O104"/>
    <mergeCell ref="AA105:AC105"/>
    <mergeCell ref="A106:L106"/>
    <mergeCell ref="M106:O106"/>
    <mergeCell ref="P106:R106"/>
    <mergeCell ref="S106:U106"/>
    <mergeCell ref="V106:Z106"/>
    <mergeCell ref="AA106:AC106"/>
    <mergeCell ref="A107:L107"/>
    <mergeCell ref="M107:O107"/>
    <mergeCell ref="P107:R107"/>
    <mergeCell ref="S107:U107"/>
    <mergeCell ref="V107:Z107"/>
    <mergeCell ref="AA107:AC107"/>
    <mergeCell ref="A108:L108"/>
    <mergeCell ref="M108:O108"/>
    <mergeCell ref="P108:R108"/>
    <mergeCell ref="S108:U108"/>
    <mergeCell ref="V108:Z108"/>
    <mergeCell ref="AA108:AC108"/>
    <mergeCell ref="A109:AC109"/>
    <mergeCell ref="A110:L110"/>
    <mergeCell ref="M110:O110"/>
    <mergeCell ref="P110:R110"/>
    <mergeCell ref="S110:U110"/>
    <mergeCell ref="V110:Z110"/>
    <mergeCell ref="AA110:AC110"/>
    <mergeCell ref="A111:L111"/>
    <mergeCell ref="M111:O111"/>
    <mergeCell ref="P111:R111"/>
    <mergeCell ref="S111:U111"/>
    <mergeCell ref="V111:Z111"/>
    <mergeCell ref="AA111:AC111"/>
    <mergeCell ref="A112:L112"/>
    <mergeCell ref="M112:O112"/>
    <mergeCell ref="P112:R112"/>
    <mergeCell ref="S112:U112"/>
    <mergeCell ref="V112:Z112"/>
    <mergeCell ref="AA112:AC112"/>
    <mergeCell ref="A113:L113"/>
    <mergeCell ref="M113:O113"/>
    <mergeCell ref="P113:R113"/>
    <mergeCell ref="S113:U113"/>
    <mergeCell ref="V113:Z113"/>
    <mergeCell ref="AA113:AC113"/>
    <mergeCell ref="A114:L114"/>
    <mergeCell ref="M114:O114"/>
    <mergeCell ref="P114:R114"/>
    <mergeCell ref="S114:U114"/>
    <mergeCell ref="V114:Z114"/>
    <mergeCell ref="AA114:AC114"/>
    <mergeCell ref="A115:AC115"/>
    <mergeCell ref="A116:H116"/>
    <mergeCell ref="I116:O116"/>
    <mergeCell ref="P116:T116"/>
    <mergeCell ref="U116:AC116"/>
    <mergeCell ref="A117:H117"/>
    <mergeCell ref="J117:M117"/>
    <mergeCell ref="N117:O117"/>
    <mergeCell ref="Q117:S117"/>
    <mergeCell ref="T117:AC117"/>
    <mergeCell ref="A118:AC118"/>
    <mergeCell ref="A119:H119"/>
    <mergeCell ref="I119:O119"/>
    <mergeCell ref="P119:T119"/>
    <mergeCell ref="U119:AC119"/>
    <mergeCell ref="A120:H120"/>
    <mergeCell ref="J120:M120"/>
    <mergeCell ref="N120:O120"/>
    <mergeCell ref="Q120:S120"/>
    <mergeCell ref="T120:AC120"/>
    <mergeCell ref="A121:AC121"/>
    <mergeCell ref="A122:B122"/>
    <mergeCell ref="C122:H122"/>
    <mergeCell ref="I122:O122"/>
    <mergeCell ref="P122:T122"/>
    <mergeCell ref="U122:AC122"/>
    <mergeCell ref="A124:AC124"/>
    <mergeCell ref="A125:J125"/>
    <mergeCell ref="K125:AC125"/>
    <mergeCell ref="A126:AC126"/>
    <mergeCell ref="A123:B123"/>
    <mergeCell ref="D123:G123"/>
    <mergeCell ref="J123:M123"/>
    <mergeCell ref="N123:O123"/>
    <mergeCell ref="Q123:S123"/>
    <mergeCell ref="T123:AC123"/>
  </mergeCells>
  <printOptions/>
  <pageMargins left="0.3937007874015748" right="0" top="0.3937007874015748" bottom="0" header="0.5118110236220472" footer="0.5118110236220472"/>
  <pageSetup fitToHeight="0" fitToWidth="1" horizontalDpi="600" verticalDpi="600" orientation="landscape" paperSize="9" scale="93" r:id="rId1"/>
  <rowBreaks count="2" manualBreakCount="2">
    <brk id="44" max="255" man="1"/>
    <brk id="102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ShabalinaOV</dc:creator>
  <cp:keywords/>
  <dc:description/>
  <cp:lastModifiedBy>ShabalinaOV</cp:lastModifiedBy>
  <cp:lastPrinted>2017-04-03T03:59:29Z</cp:lastPrinted>
  <dcterms:created xsi:type="dcterms:W3CDTF">2017-04-03T03:59:40Z</dcterms:created>
  <dcterms:modified xsi:type="dcterms:W3CDTF">2017-04-03T05:17:20Z</dcterms:modified>
  <cp:category/>
  <cp:version/>
  <cp:contentType/>
  <cp:contentStatus/>
</cp:coreProperties>
</file>