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<sst xmlns="http://schemas.openxmlformats.org/spreadsheetml/2006/main" count="678" uniqueCount="248">
  <si>
    <t>ОТЧЕТ ОБ ИСПОЛНЕНИИ БЮДЖЕТА</t>
  </si>
  <si>
    <t>КОДЫ</t>
  </si>
  <si>
    <t xml:space="preserve">Форма по ОКУД </t>
  </si>
  <si>
    <t>0503117</t>
  </si>
  <si>
    <t>на 1 декабря 2020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</si>
  <si>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</si>
  <si>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</si>
  <si>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</si>
  <si>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</si>
  <si>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</si>
  <si>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</si>
  <si>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</si>
  <si>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</si>
  <si>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</si>
  <si>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</si>
  <si>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</si>
  <si>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</si>
  <si>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</si>
  <si>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</si>
  <si>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</si>
  <si>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</si>
  <si>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</si>
  <si>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</si>
  <si>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</si>
  <si>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</si>
  <si>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</si>
  <si>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</si>
  <si>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</si>
  <si>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</si>
  <si>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</si>
  <si>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</si>
  <si>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</si>
  <si>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</si>
  <si>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</si>
  <si>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</si>
  <si>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</si>
  <si>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</si>
  <si>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</si>
  <si>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</si>
  <si>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</si>
  <si>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</si>
  <si>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</si>
  <si>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</si>
  <si>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</si>
  <si>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</si>
  <si>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</si>
  <si>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</si>
  <si>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</si>
  <si>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</si>
  <si>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</si>
  <si>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</si>
  <si>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</si>
  <si>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</si>
  <si>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</si>
  <si>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</si>
  <si>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</si>
  <si>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</si>
  <si>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</si>
  <si>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</si>
  <si>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</si>
  <si>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</si>
  <si>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</si>
  <si>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</si>
  <si>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</si>
  <si>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</si>
  <si>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</si>
  <si>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</si>
  <si>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</si>
  <si>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</si>
  <si>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</si>
  <si>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</si>
  <si>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</si>
  <si>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</si>
  <si>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</si>
  <si>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</si>
  <si>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</si>
  <si>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</si>
  <si>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</si>
  <si>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</si>
  <si>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</si>
  <si>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</si>
  <si>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</si>
  <si>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</si>
  <si>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</si>
  <si>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</si>
  <si>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</si>
  <si>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</si>
  <si>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</si>
  <si>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</si>
  <si>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</si>
  <si>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</si>
  <si>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</si>
  <si>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</si>
  <si>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</si>
  <si>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</si>
  <si>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</si>
  <si>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</si>
  <si>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</si>
  <si>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</si>
  <si>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</si>
  <si>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</si>
  <si>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</si>
  <si>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</si>
  <si>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</si>
  <si>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</si>
  <si>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</si>
  <si>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</si>
  <si>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</si>
  <si>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</si>
  <si>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</si>
  <si>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</si>
  <si>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</si>
  <si>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</si>
  <si>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</si>
  <si>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</si>
  <si>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</si>
  <si>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</si>
  <si>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</si>
  <si>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</si>
  <si>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</si>
  <si>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</si>
  <si>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</si>
  <si>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</si>
  <si>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</si>
  <si>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</si>
  <si>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</si>
  <si>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</si>
  <si>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</si>
  <si>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</si>
  <si>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</si>
  <si>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</si>
  <si>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</si>
  <si>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650 0102 5010002030 129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</si>
  <si>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</si>
  <si>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</si>
  <si>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</si>
  <si>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</si>
  <si>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</si>
  <si>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</si>
  <si>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Расходы</t>
  </si>
  <si>
    <t>650 0111 5000020940 870</t>
  </si>
  <si>
    <t>Прочие работы, услуги</t>
  </si>
  <si>
    <t>650 0113 0600120904 242</t>
  </si>
  <si>
    <t>226</t>
  </si>
  <si>
    <t>650 0113 0600199990 111</t>
  </si>
  <si>
    <t>650 0113 0600199990 112</t>
  </si>
  <si>
    <t>650 0113 0600199990 119</t>
  </si>
  <si>
    <t>Услуги связи</t>
  </si>
  <si>
    <t>650 0113 0600199990 242</t>
  </si>
  <si>
    <t>221</t>
  </si>
  <si>
    <t>650 0113 0600199990 244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</si>
  <si>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</si>
  <si>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</si>
  <si>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</si>
  <si>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</si>
  <si>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</si>
  <si>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</si>
  <si>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</si>
  <si>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</si>
  <si>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</si>
  <si>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</si>
  <si>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</si>
  <si>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</si>
  <si>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</si>
  <si>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</si>
  <si>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</si>
  <si>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</si>
  <si>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</si>
  <si>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</si>
  <si>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</si>
  <si>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</si>
  <si>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</si>
  <si>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</si>
  <si>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</si>
  <si>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</si>
  <si>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</si>
  <si>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</si>
  <si>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</si>
  <si>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</si>
  <si>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</si>
  <si>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650 0113 0800199990 244</t>
  </si>
  <si>
    <t>650 0113 0800199990 851</t>
  </si>
  <si>
    <t>650 0113 0800199990 852</t>
  </si>
  <si>
    <t>Иные выплаты текущего характера организациям</t>
  </si>
  <si>
    <t>650 0113 5000009200 853</t>
  </si>
  <si>
    <t>297</t>
  </si>
  <si>
    <t>650 0203 5000051180 121</t>
  </si>
  <si>
    <t>650 0203 5000051180 129</t>
  </si>
  <si>
    <t>650 0309 0900199990 244</t>
  </si>
  <si>
    <t>650 0309 0900389022 244</t>
  </si>
  <si>
    <t>650 0309 0900389026 244</t>
  </si>
  <si>
    <t>650 0314 0200199990 244</t>
  </si>
  <si>
    <t>650 0314 0300182300 123</t>
  </si>
  <si>
    <t>650 0314 03001S2300 123</t>
  </si>
  <si>
    <t>650 0314 0300299990 244</t>
  </si>
  <si>
    <t>650 0405 0600984200 244</t>
  </si>
  <si>
    <t>650 0409 0100220902 244</t>
  </si>
  <si>
    <t>650 0410 0400199990 242</t>
  </si>
  <si>
    <t>650 0410 0400289004 242</t>
  </si>
  <si>
    <t>650 0501 0800189012 412</t>
  </si>
  <si>
    <t>650 0501 0800199990 244</t>
  </si>
  <si>
    <t>650 0501 0800282672 244</t>
  </si>
  <si>
    <t>650 0501 0800289014 244</t>
  </si>
  <si>
    <t>650 0501 08002S2672 244</t>
  </si>
  <si>
    <t>650 0503 0500189001 244</t>
  </si>
  <si>
    <t>650 0503 0500199990 244</t>
  </si>
  <si>
    <t>650 0503 0500289016 244</t>
  </si>
  <si>
    <t>650 0503 0500299990 244</t>
  </si>
  <si>
    <t>650 0605 0500384290 121</t>
  </si>
  <si>
    <t>650 0605 0500384290 129</t>
  </si>
  <si>
    <t>650 0605 1200289021 244</t>
  </si>
  <si>
    <t>650 0705 0600199990 244</t>
  </si>
  <si>
    <t>650 0705 0600302400 244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</si>
  <si>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</si>
  <si>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</si>
  <si>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</si>
  <si>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</si>
  <si>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</si>
  <si>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</si>
  <si>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</si>
  <si>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</si>
  <si>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</si>
  <si>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</si>
  <si>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</si>
  <si>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</si>
  <si>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</si>
  <si>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</si>
  <si>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</si>
  <si>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</si>
  <si>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</si>
  <si>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</si>
  <si>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</si>
  <si>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</si>
  <si>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</si>
  <si>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</si>
  <si>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</si>
  <si>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</si>
  <si>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</si>
  <si>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</si>
  <si>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</si>
  <si>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</si>
  <si>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</si>
  <si>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</si>
  <si>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</si>
  <si>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</si>
  <si>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</si>
  <si>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7 декабря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</si>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</sst>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tabSelected="1" zoomScalePageLayoutView="0" workbookViewId="0" topLeftCell="A130">
      <selection activeCell="O141" sqref="O141:Q14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44166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24</v>
      </c>
      <c r="N10" s="43"/>
      <c r="O10" s="43"/>
      <c r="P10" s="43" t="s">
        <v>25</v>
      </c>
      <c r="Q10" s="43"/>
      <c r="R10" s="43"/>
      <c r="S10" s="45" t="s">
        <v>26</v>
      </c>
      <c r="T10" s="45"/>
      <c r="U10" s="45"/>
      <c r="V10" s="45" t="s">
        <v>27</v>
      </c>
      <c r="W10" s="45"/>
      <c r="X10" s="45"/>
      <c r="Y10" s="45"/>
      <c r="Z10" s="45"/>
      <c r="AA10" s="46" t="s">
        <v>28</v>
      </c>
      <c r="AB10" s="46"/>
      <c r="AC10" s="46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4" t="s">
        <v>34</v>
      </c>
      <c r="AB11" s="44"/>
      <c r="AC11" s="44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v>66111799.76</v>
      </c>
      <c r="T12" s="38"/>
      <c r="U12" s="38"/>
      <c r="V12" s="38">
        <f>64401844.91</f>
        <v>64401844.91</v>
      </c>
      <c r="W12" s="38"/>
      <c r="X12" s="38"/>
      <c r="Y12" s="38"/>
      <c r="Z12" s="38"/>
      <c r="AA12" s="54">
        <f>1812391.65</f>
        <v>1812391.65</v>
      </c>
      <c r="AB12" s="54"/>
      <c r="AC12" s="54"/>
    </row>
    <row r="13" spans="1:29" s="1" customFormat="1" ht="66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163100</f>
        <v>163100</v>
      </c>
      <c r="T13" s="56"/>
      <c r="U13" s="56"/>
      <c r="V13" s="56">
        <f>187027.22</f>
        <v>187027.22</v>
      </c>
      <c r="W13" s="56"/>
      <c r="X13" s="56"/>
      <c r="Y13" s="56"/>
      <c r="Z13" s="56"/>
      <c r="AA13" s="58" t="s">
        <v>40</v>
      </c>
      <c r="AB13" s="58"/>
      <c r="AC13" s="58"/>
    </row>
    <row r="14" spans="1:29" s="1" customFormat="1" ht="75.75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42</v>
      </c>
      <c r="Q14" s="29"/>
      <c r="R14" s="29"/>
      <c r="S14" s="56">
        <f>1100</f>
        <v>1100</v>
      </c>
      <c r="T14" s="56"/>
      <c r="U14" s="56"/>
      <c r="V14" s="56">
        <f>1341.81</f>
        <v>1341.81</v>
      </c>
      <c r="W14" s="56"/>
      <c r="X14" s="56"/>
      <c r="Y14" s="56"/>
      <c r="Z14" s="56"/>
      <c r="AA14" s="58" t="s">
        <v>40</v>
      </c>
      <c r="AB14" s="58"/>
      <c r="AC14" s="58"/>
    </row>
    <row r="15" spans="1:29" s="1" customFormat="1" ht="66" customHeight="1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44</v>
      </c>
      <c r="Q15" s="29"/>
      <c r="R15" s="29"/>
      <c r="S15" s="56">
        <f>316300</f>
        <v>316300</v>
      </c>
      <c r="T15" s="56"/>
      <c r="U15" s="56"/>
      <c r="V15" s="56">
        <f>251294.81</f>
        <v>251294.81</v>
      </c>
      <c r="W15" s="56"/>
      <c r="X15" s="56"/>
      <c r="Y15" s="56"/>
      <c r="Z15" s="56"/>
      <c r="AA15" s="57">
        <f>65003.63</f>
        <v>65003.63</v>
      </c>
      <c r="AB15" s="57"/>
      <c r="AC15" s="57"/>
    </row>
    <row r="16" spans="1:29" s="1" customFormat="1" ht="66" customHeight="1">
      <c r="A16" s="27" t="s">
        <v>45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46</v>
      </c>
      <c r="Q16" s="29"/>
      <c r="R16" s="29"/>
      <c r="S16" s="56">
        <f>-30300</f>
        <v>-30300</v>
      </c>
      <c r="T16" s="56"/>
      <c r="U16" s="56"/>
      <c r="V16" s="56">
        <f>-33687.4</f>
        <v>-33687.4</v>
      </c>
      <c r="W16" s="56"/>
      <c r="X16" s="56"/>
      <c r="Y16" s="56"/>
      <c r="Z16" s="56"/>
      <c r="AA16" s="58" t="s">
        <v>40</v>
      </c>
      <c r="AB16" s="58"/>
      <c r="AC16" s="58"/>
    </row>
    <row r="17" spans="1:29" s="1" customFormat="1" ht="45" customHeight="1">
      <c r="A17" s="27" t="s">
        <v>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48</v>
      </c>
      <c r="Q17" s="29"/>
      <c r="R17" s="29"/>
      <c r="S17" s="56">
        <f>13500000</f>
        <v>13500000</v>
      </c>
      <c r="T17" s="56"/>
      <c r="U17" s="56"/>
      <c r="V17" s="31" t="s">
        <v>40</v>
      </c>
      <c r="W17" s="31"/>
      <c r="X17" s="31"/>
      <c r="Y17" s="31"/>
      <c r="Z17" s="31"/>
      <c r="AA17" s="57">
        <f>13500000</f>
        <v>13500000</v>
      </c>
      <c r="AB17" s="57"/>
      <c r="AC17" s="57"/>
    </row>
    <row r="18" spans="1:29" s="1" customFormat="1" ht="4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40</v>
      </c>
      <c r="T18" s="31"/>
      <c r="U18" s="31"/>
      <c r="V18" s="56">
        <f>13144223.48</f>
        <v>13144223.48</v>
      </c>
      <c r="W18" s="56"/>
      <c r="X18" s="56"/>
      <c r="Y18" s="56"/>
      <c r="Z18" s="56"/>
      <c r="AA18" s="58" t="s">
        <v>40</v>
      </c>
      <c r="AB18" s="58"/>
      <c r="AC18" s="58"/>
    </row>
    <row r="19" spans="1:29" s="1" customFormat="1" ht="45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40</v>
      </c>
      <c r="T19" s="31"/>
      <c r="U19" s="31"/>
      <c r="V19" s="56">
        <f>693.83</f>
        <v>693.83</v>
      </c>
      <c r="W19" s="56"/>
      <c r="X19" s="56"/>
      <c r="Y19" s="56"/>
      <c r="Z19" s="56"/>
      <c r="AA19" s="58" t="s">
        <v>40</v>
      </c>
      <c r="AB19" s="58"/>
      <c r="AC19" s="58"/>
    </row>
    <row r="20" spans="1:29" s="1" customFormat="1" ht="4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40</v>
      </c>
      <c r="T20" s="31"/>
      <c r="U20" s="31"/>
      <c r="V20" s="56">
        <f>1144.91</f>
        <v>1144.91</v>
      </c>
      <c r="W20" s="56"/>
      <c r="X20" s="56"/>
      <c r="Y20" s="56"/>
      <c r="Z20" s="56"/>
      <c r="AA20" s="58" t="s">
        <v>40</v>
      </c>
      <c r="AB20" s="58"/>
      <c r="AC20" s="58"/>
    </row>
    <row r="21" spans="1:29" s="1" customFormat="1" ht="66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56">
        <f>5000</f>
        <v>5000</v>
      </c>
      <c r="T21" s="56"/>
      <c r="U21" s="56"/>
      <c r="V21" s="31" t="s">
        <v>40</v>
      </c>
      <c r="W21" s="31"/>
      <c r="X21" s="31"/>
      <c r="Y21" s="31"/>
      <c r="Z21" s="31"/>
      <c r="AA21" s="57">
        <f>5000</f>
        <v>5000</v>
      </c>
      <c r="AB21" s="57"/>
      <c r="AC21" s="57"/>
    </row>
    <row r="22" spans="1:29" s="1" customFormat="1" ht="66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54</v>
      </c>
      <c r="Q22" s="29"/>
      <c r="R22" s="29"/>
      <c r="S22" s="31" t="s">
        <v>40</v>
      </c>
      <c r="T22" s="31"/>
      <c r="U22" s="31"/>
      <c r="V22" s="56">
        <f>-1530.6</f>
        <v>-1530.6</v>
      </c>
      <c r="W22" s="56"/>
      <c r="X22" s="56"/>
      <c r="Y22" s="56"/>
      <c r="Z22" s="56"/>
      <c r="AA22" s="58" t="s">
        <v>40</v>
      </c>
      <c r="AB22" s="58"/>
      <c r="AC22" s="58"/>
    </row>
    <row r="23" spans="1:29" s="1" customFormat="1" ht="24" customHeight="1">
      <c r="A23" s="27" t="s">
        <v>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56</v>
      </c>
      <c r="Q23" s="29"/>
      <c r="R23" s="29"/>
      <c r="S23" s="31" t="s">
        <v>40</v>
      </c>
      <c r="T23" s="31"/>
      <c r="U23" s="31"/>
      <c r="V23" s="56">
        <f>32756.23</f>
        <v>32756.23</v>
      </c>
      <c r="W23" s="56"/>
      <c r="X23" s="56"/>
      <c r="Y23" s="56"/>
      <c r="Z23" s="56"/>
      <c r="AA23" s="58" t="s">
        <v>40</v>
      </c>
      <c r="AB23" s="58"/>
      <c r="AC23" s="58"/>
    </row>
    <row r="24" spans="1:29" s="1" customFormat="1" ht="24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57</v>
      </c>
      <c r="Q24" s="29"/>
      <c r="R24" s="29"/>
      <c r="S24" s="31" t="s">
        <v>40</v>
      </c>
      <c r="T24" s="31"/>
      <c r="U24" s="31"/>
      <c r="V24" s="56">
        <f>1604.96</f>
        <v>1604.96</v>
      </c>
      <c r="W24" s="56"/>
      <c r="X24" s="56"/>
      <c r="Y24" s="56"/>
      <c r="Z24" s="56"/>
      <c r="AA24" s="58" t="s">
        <v>40</v>
      </c>
      <c r="AB24" s="58"/>
      <c r="AC24" s="58"/>
    </row>
    <row r="25" spans="1:29" s="1" customFormat="1" ht="13.5" customHeight="1">
      <c r="A25" s="27" t="s">
        <v>58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59</v>
      </c>
      <c r="Q25" s="29"/>
      <c r="R25" s="29"/>
      <c r="S25" s="56">
        <f>247300</f>
        <v>247300</v>
      </c>
      <c r="T25" s="56"/>
      <c r="U25" s="56"/>
      <c r="V25" s="31" t="s">
        <v>40</v>
      </c>
      <c r="W25" s="31"/>
      <c r="X25" s="31"/>
      <c r="Y25" s="31"/>
      <c r="Z25" s="31"/>
      <c r="AA25" s="57">
        <f>247300</f>
        <v>247300</v>
      </c>
      <c r="AB25" s="57"/>
      <c r="AC25" s="57"/>
    </row>
    <row r="26" spans="1:29" s="1" customFormat="1" ht="13.5" customHeight="1">
      <c r="A26" s="27" t="s">
        <v>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60</v>
      </c>
      <c r="Q26" s="29"/>
      <c r="R26" s="29"/>
      <c r="S26" s="31" t="s">
        <v>40</v>
      </c>
      <c r="T26" s="31"/>
      <c r="U26" s="31"/>
      <c r="V26" s="56">
        <f>180162.52</f>
        <v>180162.52</v>
      </c>
      <c r="W26" s="56"/>
      <c r="X26" s="56"/>
      <c r="Y26" s="56"/>
      <c r="Z26" s="56"/>
      <c r="AA26" s="58" t="s">
        <v>40</v>
      </c>
      <c r="AB26" s="58"/>
      <c r="AC26" s="58"/>
    </row>
    <row r="27" spans="1:29" s="1" customFormat="1" ht="13.5" customHeight="1">
      <c r="A27" s="27" t="s">
        <v>58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61</v>
      </c>
      <c r="Q27" s="29"/>
      <c r="R27" s="29"/>
      <c r="S27" s="31" t="s">
        <v>40</v>
      </c>
      <c r="T27" s="31"/>
      <c r="U27" s="31"/>
      <c r="V27" s="56">
        <f>1416.36</f>
        <v>1416.36</v>
      </c>
      <c r="W27" s="56"/>
      <c r="X27" s="56"/>
      <c r="Y27" s="56"/>
      <c r="Z27" s="56"/>
      <c r="AA27" s="58" t="s">
        <v>40</v>
      </c>
      <c r="AB27" s="58"/>
      <c r="AC27" s="58"/>
    </row>
    <row r="28" spans="1:29" s="1" customFormat="1" ht="13.5" customHeight="1">
      <c r="A28" s="27" t="s">
        <v>58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62</v>
      </c>
      <c r="Q28" s="29"/>
      <c r="R28" s="29"/>
      <c r="S28" s="31" t="s">
        <v>40</v>
      </c>
      <c r="T28" s="31"/>
      <c r="U28" s="31"/>
      <c r="V28" s="56">
        <f>250</f>
        <v>250</v>
      </c>
      <c r="W28" s="56"/>
      <c r="X28" s="56"/>
      <c r="Y28" s="56"/>
      <c r="Z28" s="56"/>
      <c r="AA28" s="58" t="s">
        <v>40</v>
      </c>
      <c r="AB28" s="58"/>
      <c r="AC28" s="58"/>
    </row>
    <row r="29" spans="1:29" s="1" customFormat="1" ht="24" customHeight="1">
      <c r="A29" s="27" t="s">
        <v>63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56">
        <f>370100</f>
        <v>370100</v>
      </c>
      <c r="T29" s="56"/>
      <c r="U29" s="56"/>
      <c r="V29" s="31" t="s">
        <v>40</v>
      </c>
      <c r="W29" s="31"/>
      <c r="X29" s="31"/>
      <c r="Y29" s="31"/>
      <c r="Z29" s="31"/>
      <c r="AA29" s="57">
        <f>370100</f>
        <v>370100</v>
      </c>
      <c r="AB29" s="57"/>
      <c r="AC29" s="57"/>
    </row>
    <row r="30" spans="1:29" s="1" customFormat="1" ht="33.75" customHeight="1">
      <c r="A30" s="27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66</v>
      </c>
      <c r="Q30" s="29"/>
      <c r="R30" s="29"/>
      <c r="S30" s="31" t="s">
        <v>40</v>
      </c>
      <c r="T30" s="31"/>
      <c r="U30" s="31"/>
      <c r="V30" s="56">
        <f>280986.29</f>
        <v>280986.29</v>
      </c>
      <c r="W30" s="56"/>
      <c r="X30" s="56"/>
      <c r="Y30" s="56"/>
      <c r="Z30" s="56"/>
      <c r="AA30" s="58" t="s">
        <v>40</v>
      </c>
      <c r="AB30" s="58"/>
      <c r="AC30" s="58"/>
    </row>
    <row r="31" spans="1:29" s="1" customFormat="1" ht="33.75" customHeight="1">
      <c r="A31" s="27" t="s">
        <v>65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67</v>
      </c>
      <c r="Q31" s="29"/>
      <c r="R31" s="29"/>
      <c r="S31" s="31" t="s">
        <v>40</v>
      </c>
      <c r="T31" s="31"/>
      <c r="U31" s="31"/>
      <c r="V31" s="56">
        <f>4068.74</f>
        <v>4068.74</v>
      </c>
      <c r="W31" s="56"/>
      <c r="X31" s="56"/>
      <c r="Y31" s="56"/>
      <c r="Z31" s="56"/>
      <c r="AA31" s="58" t="s">
        <v>40</v>
      </c>
      <c r="AB31" s="58"/>
      <c r="AC31" s="58"/>
    </row>
    <row r="32" spans="1:29" s="1" customFormat="1" ht="13.5" customHeight="1">
      <c r="A32" s="27" t="s">
        <v>68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69</v>
      </c>
      <c r="Q32" s="29"/>
      <c r="R32" s="29"/>
      <c r="S32" s="56">
        <f>4800</f>
        <v>4800</v>
      </c>
      <c r="T32" s="56"/>
      <c r="U32" s="56"/>
      <c r="V32" s="31" t="s">
        <v>40</v>
      </c>
      <c r="W32" s="31"/>
      <c r="X32" s="31"/>
      <c r="Y32" s="31"/>
      <c r="Z32" s="31"/>
      <c r="AA32" s="57">
        <f>4800</f>
        <v>4800</v>
      </c>
      <c r="AB32" s="57"/>
      <c r="AC32" s="57"/>
    </row>
    <row r="33" spans="1:29" s="1" customFormat="1" ht="13.5" customHeight="1">
      <c r="A33" s="27" t="s">
        <v>68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70</v>
      </c>
      <c r="Q33" s="29"/>
      <c r="R33" s="29"/>
      <c r="S33" s="31" t="s">
        <v>40</v>
      </c>
      <c r="T33" s="31"/>
      <c r="U33" s="31"/>
      <c r="V33" s="56">
        <f>2580.56</f>
        <v>2580.56</v>
      </c>
      <c r="W33" s="56"/>
      <c r="X33" s="56"/>
      <c r="Y33" s="56"/>
      <c r="Z33" s="56"/>
      <c r="AA33" s="58" t="s">
        <v>40</v>
      </c>
      <c r="AB33" s="58"/>
      <c r="AC33" s="58"/>
    </row>
    <row r="34" spans="1:29" s="1" customFormat="1" ht="13.5" customHeight="1">
      <c r="A34" s="27" t="s">
        <v>68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71</v>
      </c>
      <c r="Q34" s="29"/>
      <c r="R34" s="29"/>
      <c r="S34" s="31" t="s">
        <v>40</v>
      </c>
      <c r="T34" s="31"/>
      <c r="U34" s="31"/>
      <c r="V34" s="56">
        <f>3.35</f>
        <v>3.35</v>
      </c>
      <c r="W34" s="56"/>
      <c r="X34" s="56"/>
      <c r="Y34" s="56"/>
      <c r="Z34" s="56"/>
      <c r="AA34" s="58" t="s">
        <v>40</v>
      </c>
      <c r="AB34" s="58"/>
      <c r="AC34" s="58"/>
    </row>
    <row r="35" spans="1:29" s="1" customFormat="1" ht="13.5" customHeight="1">
      <c r="A35" s="27" t="s">
        <v>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73</v>
      </c>
      <c r="Q35" s="29"/>
      <c r="R35" s="29"/>
      <c r="S35" s="56">
        <f>48400</f>
        <v>48400</v>
      </c>
      <c r="T35" s="56"/>
      <c r="U35" s="56"/>
      <c r="V35" s="31" t="s">
        <v>40</v>
      </c>
      <c r="W35" s="31"/>
      <c r="X35" s="31"/>
      <c r="Y35" s="31"/>
      <c r="Z35" s="31"/>
      <c r="AA35" s="57">
        <f>48400</f>
        <v>48400</v>
      </c>
      <c r="AB35" s="57"/>
      <c r="AC35" s="57"/>
    </row>
    <row r="36" spans="1:29" s="1" customFormat="1" ht="13.5" customHeight="1">
      <c r="A36" s="27" t="s">
        <v>72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74</v>
      </c>
      <c r="Q36" s="29"/>
      <c r="R36" s="29"/>
      <c r="S36" s="31" t="s">
        <v>40</v>
      </c>
      <c r="T36" s="31"/>
      <c r="U36" s="31"/>
      <c r="V36" s="56">
        <f>40737.12</f>
        <v>40737.12</v>
      </c>
      <c r="W36" s="56"/>
      <c r="X36" s="56"/>
      <c r="Y36" s="56"/>
      <c r="Z36" s="56"/>
      <c r="AA36" s="58" t="s">
        <v>40</v>
      </c>
      <c r="AB36" s="58"/>
      <c r="AC36" s="58"/>
    </row>
    <row r="37" spans="1:29" s="1" customFormat="1" ht="13.5" customHeight="1">
      <c r="A37" s="27" t="s">
        <v>72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75</v>
      </c>
      <c r="Q37" s="29"/>
      <c r="R37" s="29"/>
      <c r="S37" s="31" t="s">
        <v>40</v>
      </c>
      <c r="T37" s="31"/>
      <c r="U37" s="31"/>
      <c r="V37" s="56">
        <f>419.71</f>
        <v>419.71</v>
      </c>
      <c r="W37" s="56"/>
      <c r="X37" s="56"/>
      <c r="Y37" s="56"/>
      <c r="Z37" s="56"/>
      <c r="AA37" s="58" t="s">
        <v>40</v>
      </c>
      <c r="AB37" s="58"/>
      <c r="AC37" s="58"/>
    </row>
    <row r="38" spans="1:29" s="1" customFormat="1" ht="24" customHeight="1">
      <c r="A38" s="27" t="s">
        <v>76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77</v>
      </c>
      <c r="Q38" s="29"/>
      <c r="R38" s="29"/>
      <c r="S38" s="56">
        <f>117700</f>
        <v>117700</v>
      </c>
      <c r="T38" s="56"/>
      <c r="U38" s="56"/>
      <c r="V38" s="31" t="s">
        <v>40</v>
      </c>
      <c r="W38" s="31"/>
      <c r="X38" s="31"/>
      <c r="Y38" s="31"/>
      <c r="Z38" s="31"/>
      <c r="AA38" s="57">
        <f>117700</f>
        <v>117700</v>
      </c>
      <c r="AB38" s="57"/>
      <c r="AC38" s="57"/>
    </row>
    <row r="39" spans="1:29" s="1" customFormat="1" ht="24" customHeight="1">
      <c r="A39" s="27" t="s">
        <v>78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79</v>
      </c>
      <c r="Q39" s="29"/>
      <c r="R39" s="29"/>
      <c r="S39" s="31" t="s">
        <v>40</v>
      </c>
      <c r="T39" s="31"/>
      <c r="U39" s="31"/>
      <c r="V39" s="56">
        <f>80173</f>
        <v>80173</v>
      </c>
      <c r="W39" s="56"/>
      <c r="X39" s="56"/>
      <c r="Y39" s="56"/>
      <c r="Z39" s="56"/>
      <c r="AA39" s="58" t="s">
        <v>40</v>
      </c>
      <c r="AB39" s="58"/>
      <c r="AC39" s="58"/>
    </row>
    <row r="40" spans="1:29" s="1" customFormat="1" ht="24" customHeight="1">
      <c r="A40" s="27" t="s">
        <v>78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80</v>
      </c>
      <c r="Q40" s="29"/>
      <c r="R40" s="29"/>
      <c r="S40" s="31" t="s">
        <v>40</v>
      </c>
      <c r="T40" s="31"/>
      <c r="U40" s="31"/>
      <c r="V40" s="56">
        <f>0.14</f>
        <v>0.14</v>
      </c>
      <c r="W40" s="56"/>
      <c r="X40" s="56"/>
      <c r="Y40" s="56"/>
      <c r="Z40" s="56"/>
      <c r="AA40" s="58" t="s">
        <v>40</v>
      </c>
      <c r="AB40" s="58"/>
      <c r="AC40" s="58"/>
    </row>
    <row r="41" spans="1:29" s="1" customFormat="1" ht="24" customHeight="1">
      <c r="A41" s="27" t="s">
        <v>81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82</v>
      </c>
      <c r="Q41" s="29"/>
      <c r="R41" s="29"/>
      <c r="S41" s="56">
        <f>20600</f>
        <v>20600</v>
      </c>
      <c r="T41" s="56"/>
      <c r="U41" s="56"/>
      <c r="V41" s="31" t="s">
        <v>40</v>
      </c>
      <c r="W41" s="31"/>
      <c r="X41" s="31"/>
      <c r="Y41" s="31"/>
      <c r="Z41" s="31"/>
      <c r="AA41" s="57">
        <f>20600</f>
        <v>20600</v>
      </c>
      <c r="AB41" s="57"/>
      <c r="AC41" s="57"/>
    </row>
    <row r="42" spans="1:29" s="1" customFormat="1" ht="24" customHeight="1">
      <c r="A42" s="27" t="s">
        <v>83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84</v>
      </c>
      <c r="Q42" s="29"/>
      <c r="R42" s="29"/>
      <c r="S42" s="31" t="s">
        <v>40</v>
      </c>
      <c r="T42" s="31"/>
      <c r="U42" s="31"/>
      <c r="V42" s="56">
        <f>12266.72</f>
        <v>12266.72</v>
      </c>
      <c r="W42" s="56"/>
      <c r="X42" s="56"/>
      <c r="Y42" s="56"/>
      <c r="Z42" s="56"/>
      <c r="AA42" s="58" t="s">
        <v>40</v>
      </c>
      <c r="AB42" s="58"/>
      <c r="AC42" s="58"/>
    </row>
    <row r="43" spans="1:29" s="1" customFormat="1" ht="24" customHeight="1">
      <c r="A43" s="27" t="s">
        <v>83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85</v>
      </c>
      <c r="Q43" s="29"/>
      <c r="R43" s="29"/>
      <c r="S43" s="31" t="s">
        <v>40</v>
      </c>
      <c r="T43" s="31"/>
      <c r="U43" s="31"/>
      <c r="V43" s="56">
        <f>109.42</f>
        <v>109.42</v>
      </c>
      <c r="W43" s="56"/>
      <c r="X43" s="56"/>
      <c r="Y43" s="56"/>
      <c r="Z43" s="56"/>
      <c r="AA43" s="58" t="s">
        <v>40</v>
      </c>
      <c r="AB43" s="58"/>
      <c r="AC43" s="58"/>
    </row>
    <row r="44" spans="1:29" s="1" customFormat="1" ht="45" customHeight="1">
      <c r="A44" s="27" t="s">
        <v>86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36</v>
      </c>
      <c r="N44" s="29"/>
      <c r="O44" s="29"/>
      <c r="P44" s="29" t="s">
        <v>87</v>
      </c>
      <c r="Q44" s="29"/>
      <c r="R44" s="29"/>
      <c r="S44" s="56">
        <f>15000</f>
        <v>15000</v>
      </c>
      <c r="T44" s="56"/>
      <c r="U44" s="56"/>
      <c r="V44" s="31" t="s">
        <v>40</v>
      </c>
      <c r="W44" s="31"/>
      <c r="X44" s="31"/>
      <c r="Y44" s="31"/>
      <c r="Z44" s="31"/>
      <c r="AA44" s="57">
        <f>15000</f>
        <v>15000</v>
      </c>
      <c r="AB44" s="57"/>
      <c r="AC44" s="57"/>
    </row>
    <row r="45" spans="1:29" s="1" customFormat="1" ht="45" customHeight="1">
      <c r="A45" s="27" t="s">
        <v>86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36</v>
      </c>
      <c r="N45" s="29"/>
      <c r="O45" s="29"/>
      <c r="P45" s="29" t="s">
        <v>88</v>
      </c>
      <c r="Q45" s="29"/>
      <c r="R45" s="29"/>
      <c r="S45" s="31" t="s">
        <v>40</v>
      </c>
      <c r="T45" s="31"/>
      <c r="U45" s="31"/>
      <c r="V45" s="56">
        <f>6130</f>
        <v>6130</v>
      </c>
      <c r="W45" s="56"/>
      <c r="X45" s="56"/>
      <c r="Y45" s="56"/>
      <c r="Z45" s="56"/>
      <c r="AA45" s="58" t="s">
        <v>40</v>
      </c>
      <c r="AB45" s="58"/>
      <c r="AC45" s="58"/>
    </row>
    <row r="46" spans="1:29" s="1" customFormat="1" ht="24" customHeight="1">
      <c r="A46" s="27" t="s">
        <v>89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9" t="s">
        <v>36</v>
      </c>
      <c r="N46" s="29"/>
      <c r="O46" s="29"/>
      <c r="P46" s="29" t="s">
        <v>90</v>
      </c>
      <c r="Q46" s="29"/>
      <c r="R46" s="29"/>
      <c r="S46" s="56">
        <f>350000</f>
        <v>350000</v>
      </c>
      <c r="T46" s="56"/>
      <c r="U46" s="56"/>
      <c r="V46" s="56">
        <f>293036.85</f>
        <v>293036.85</v>
      </c>
      <c r="W46" s="56"/>
      <c r="X46" s="56"/>
      <c r="Y46" s="56"/>
      <c r="Z46" s="56"/>
      <c r="AA46" s="57">
        <f>56963.15</f>
        <v>56963.15</v>
      </c>
      <c r="AB46" s="57"/>
      <c r="AC46" s="57"/>
    </row>
    <row r="47" spans="1:29" s="1" customFormat="1" ht="45" customHeight="1">
      <c r="A47" s="27" t="s">
        <v>91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9" t="s">
        <v>36</v>
      </c>
      <c r="N47" s="29"/>
      <c r="O47" s="29"/>
      <c r="P47" s="29" t="s">
        <v>92</v>
      </c>
      <c r="Q47" s="29"/>
      <c r="R47" s="29"/>
      <c r="S47" s="56">
        <f>200000</f>
        <v>200000</v>
      </c>
      <c r="T47" s="56"/>
      <c r="U47" s="56"/>
      <c r="V47" s="56">
        <v>0</v>
      </c>
      <c r="W47" s="56"/>
      <c r="X47" s="56"/>
      <c r="Y47" s="56"/>
      <c r="Z47" s="56"/>
      <c r="AA47" s="57">
        <f>320304</f>
        <v>320304</v>
      </c>
      <c r="AB47" s="57"/>
      <c r="AC47" s="57"/>
    </row>
    <row r="48" spans="1:29" s="1" customFormat="1" ht="13.5" customHeight="1">
      <c r="A48" s="27" t="s">
        <v>93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 t="s">
        <v>36</v>
      </c>
      <c r="N48" s="29"/>
      <c r="O48" s="29"/>
      <c r="P48" s="29" t="s">
        <v>94</v>
      </c>
      <c r="Q48" s="29"/>
      <c r="R48" s="29"/>
      <c r="S48" s="56">
        <f>178331.88</f>
        <v>178331.88</v>
      </c>
      <c r="T48" s="56"/>
      <c r="U48" s="56"/>
      <c r="V48" s="56">
        <f>178331.88</f>
        <v>178331.88</v>
      </c>
      <c r="W48" s="56"/>
      <c r="X48" s="56"/>
      <c r="Y48" s="56"/>
      <c r="Z48" s="56"/>
      <c r="AA48" s="57">
        <f>0</f>
        <v>0</v>
      </c>
      <c r="AB48" s="57"/>
      <c r="AC48" s="57"/>
    </row>
    <row r="49" spans="1:29" s="1" customFormat="1" ht="13.5" customHeight="1">
      <c r="A49" s="27" t="s">
        <v>95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9" t="s">
        <v>36</v>
      </c>
      <c r="N49" s="29"/>
      <c r="O49" s="29"/>
      <c r="P49" s="29" t="s">
        <v>96</v>
      </c>
      <c r="Q49" s="29"/>
      <c r="R49" s="29"/>
      <c r="S49" s="56">
        <f>7380000</f>
        <v>7380000</v>
      </c>
      <c r="T49" s="56"/>
      <c r="U49" s="56"/>
      <c r="V49" s="56">
        <v>7769145.87</v>
      </c>
      <c r="W49" s="56"/>
      <c r="X49" s="56"/>
      <c r="Y49" s="56"/>
      <c r="Z49" s="56"/>
      <c r="AA49" s="58" t="s">
        <v>40</v>
      </c>
      <c r="AB49" s="58"/>
      <c r="AC49" s="58"/>
    </row>
    <row r="50" spans="1:29" s="1" customFormat="1" ht="54.75" customHeight="1">
      <c r="A50" s="27" t="s">
        <v>97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9" t="s">
        <v>36</v>
      </c>
      <c r="N50" s="29"/>
      <c r="O50" s="29"/>
      <c r="P50" s="29" t="s">
        <v>98</v>
      </c>
      <c r="Q50" s="29"/>
      <c r="R50" s="29"/>
      <c r="S50" s="56">
        <f>82383.33</f>
        <v>82383.33</v>
      </c>
      <c r="T50" s="56"/>
      <c r="U50" s="56"/>
      <c r="V50" s="56">
        <f>82383.33</f>
        <v>82383.33</v>
      </c>
      <c r="W50" s="56"/>
      <c r="X50" s="56"/>
      <c r="Y50" s="56"/>
      <c r="Z50" s="56"/>
      <c r="AA50" s="57">
        <f>0</f>
        <v>0</v>
      </c>
      <c r="AB50" s="57"/>
      <c r="AC50" s="57"/>
    </row>
    <row r="51" spans="1:29" s="1" customFormat="1" ht="45" customHeight="1">
      <c r="A51" s="27" t="s">
        <v>99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9" t="s">
        <v>36</v>
      </c>
      <c r="N51" s="29"/>
      <c r="O51" s="29"/>
      <c r="P51" s="29" t="s">
        <v>100</v>
      </c>
      <c r="Q51" s="29"/>
      <c r="R51" s="29"/>
      <c r="S51" s="31" t="s">
        <v>40</v>
      </c>
      <c r="T51" s="31"/>
      <c r="U51" s="31"/>
      <c r="V51" s="56">
        <f>11823.36</f>
        <v>11823.36</v>
      </c>
      <c r="W51" s="56"/>
      <c r="X51" s="56"/>
      <c r="Y51" s="56"/>
      <c r="Z51" s="56"/>
      <c r="AA51" s="58" t="s">
        <v>40</v>
      </c>
      <c r="AB51" s="58"/>
      <c r="AC51" s="58"/>
    </row>
    <row r="52" spans="1:29" s="1" customFormat="1" ht="13.5" customHeight="1">
      <c r="A52" s="27" t="s">
        <v>101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9" t="s">
        <v>36</v>
      </c>
      <c r="N52" s="29"/>
      <c r="O52" s="29"/>
      <c r="P52" s="29" t="s">
        <v>102</v>
      </c>
      <c r="Q52" s="29"/>
      <c r="R52" s="29"/>
      <c r="S52" s="31" t="s">
        <v>40</v>
      </c>
      <c r="T52" s="31"/>
      <c r="U52" s="31"/>
      <c r="V52" s="56">
        <v>0</v>
      </c>
      <c r="W52" s="56"/>
      <c r="X52" s="56"/>
      <c r="Y52" s="56"/>
      <c r="Z52" s="56"/>
      <c r="AA52" s="58" t="s">
        <v>40</v>
      </c>
      <c r="AB52" s="58"/>
      <c r="AC52" s="58"/>
    </row>
    <row r="53" spans="1:29" s="1" customFormat="1" ht="24" customHeight="1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9" t="s">
        <v>36</v>
      </c>
      <c r="N53" s="29"/>
      <c r="O53" s="29"/>
      <c r="P53" s="29" t="s">
        <v>104</v>
      </c>
      <c r="Q53" s="29"/>
      <c r="R53" s="29"/>
      <c r="S53" s="56">
        <f>5755900</f>
        <v>5755900</v>
      </c>
      <c r="T53" s="56"/>
      <c r="U53" s="56"/>
      <c r="V53" s="56">
        <f>5411025</f>
        <v>5411025</v>
      </c>
      <c r="W53" s="56"/>
      <c r="X53" s="56"/>
      <c r="Y53" s="56"/>
      <c r="Z53" s="56"/>
      <c r="AA53" s="57">
        <f>344875</f>
        <v>344875</v>
      </c>
      <c r="AB53" s="57"/>
      <c r="AC53" s="57"/>
    </row>
    <row r="54" spans="1:29" s="1" customFormat="1" ht="13.5" customHeight="1">
      <c r="A54" s="27" t="s">
        <v>105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9" t="s">
        <v>36</v>
      </c>
      <c r="N54" s="29"/>
      <c r="O54" s="29"/>
      <c r="P54" s="29" t="s">
        <v>106</v>
      </c>
      <c r="Q54" s="29"/>
      <c r="R54" s="29"/>
      <c r="S54" s="56">
        <f>725862.34</f>
        <v>725862.34</v>
      </c>
      <c r="T54" s="56"/>
      <c r="U54" s="56"/>
      <c r="V54" s="56">
        <f>725862.34</f>
        <v>725862.34</v>
      </c>
      <c r="W54" s="56"/>
      <c r="X54" s="56"/>
      <c r="Y54" s="56"/>
      <c r="Z54" s="56"/>
      <c r="AA54" s="57">
        <f>0</f>
        <v>0</v>
      </c>
      <c r="AB54" s="57"/>
      <c r="AC54" s="57"/>
    </row>
    <row r="55" spans="1:29" s="1" customFormat="1" ht="24" customHeight="1">
      <c r="A55" s="27" t="s">
        <v>107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9" t="s">
        <v>36</v>
      </c>
      <c r="N55" s="29"/>
      <c r="O55" s="29"/>
      <c r="P55" s="29" t="s">
        <v>108</v>
      </c>
      <c r="Q55" s="29"/>
      <c r="R55" s="29"/>
      <c r="S55" s="56">
        <f>21112.94</f>
        <v>21112.94</v>
      </c>
      <c r="T55" s="56"/>
      <c r="U55" s="56"/>
      <c r="V55" s="56">
        <f>21110.86</f>
        <v>21110.86</v>
      </c>
      <c r="W55" s="56"/>
      <c r="X55" s="56"/>
      <c r="Y55" s="56"/>
      <c r="Z55" s="56"/>
      <c r="AA55" s="57">
        <f>2.08</f>
        <v>2.08</v>
      </c>
      <c r="AB55" s="57"/>
      <c r="AC55" s="57"/>
    </row>
    <row r="56" spans="1:29" s="1" customFormat="1" ht="24" customHeight="1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9" t="s">
        <v>36</v>
      </c>
      <c r="N56" s="29"/>
      <c r="O56" s="29"/>
      <c r="P56" s="29" t="s">
        <v>110</v>
      </c>
      <c r="Q56" s="29"/>
      <c r="R56" s="29"/>
      <c r="S56" s="56">
        <f>238923.78</f>
        <v>238923.78</v>
      </c>
      <c r="T56" s="56"/>
      <c r="U56" s="56"/>
      <c r="V56" s="56">
        <f>187661.75</f>
        <v>187661.75</v>
      </c>
      <c r="W56" s="56"/>
      <c r="X56" s="56"/>
      <c r="Y56" s="56"/>
      <c r="Z56" s="56"/>
      <c r="AA56" s="57">
        <f>51262.03</f>
        <v>51262.03</v>
      </c>
      <c r="AB56" s="57"/>
      <c r="AC56" s="57"/>
    </row>
    <row r="57" spans="1:29" s="1" customFormat="1" ht="24" customHeight="1">
      <c r="A57" s="27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9" t="s">
        <v>36</v>
      </c>
      <c r="N57" s="29"/>
      <c r="O57" s="29"/>
      <c r="P57" s="29" t="s">
        <v>112</v>
      </c>
      <c r="Q57" s="29"/>
      <c r="R57" s="29"/>
      <c r="S57" s="56">
        <v>35640023.49</v>
      </c>
      <c r="T57" s="56"/>
      <c r="U57" s="56"/>
      <c r="V57" s="56">
        <f>34767128.49</f>
        <v>34767128.49</v>
      </c>
      <c r="W57" s="56"/>
      <c r="X57" s="56"/>
      <c r="Y57" s="56"/>
      <c r="Z57" s="56"/>
      <c r="AA57" s="57">
        <f>975331.8</f>
        <v>975331.8</v>
      </c>
      <c r="AB57" s="57"/>
      <c r="AC57" s="57"/>
    </row>
    <row r="58" spans="1:29" s="1" customFormat="1" ht="13.5" customHeight="1">
      <c r="A58" s="27" t="s">
        <v>113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9" t="s">
        <v>36</v>
      </c>
      <c r="N58" s="29"/>
      <c r="O58" s="29"/>
      <c r="P58" s="29" t="s">
        <v>114</v>
      </c>
      <c r="Q58" s="29"/>
      <c r="R58" s="29"/>
      <c r="S58" s="56">
        <f>759162</f>
        <v>759162</v>
      </c>
      <c r="T58" s="56"/>
      <c r="U58" s="56"/>
      <c r="V58" s="56">
        <f>759162</f>
        <v>759162</v>
      </c>
      <c r="W58" s="56"/>
      <c r="X58" s="56"/>
      <c r="Y58" s="56"/>
      <c r="Z58" s="56"/>
      <c r="AA58" s="57">
        <f>0</f>
        <v>0</v>
      </c>
      <c r="AB58" s="57"/>
      <c r="AC58" s="57"/>
    </row>
    <row r="59" spans="1:29" s="1" customFormat="1" ht="33.75" customHeight="1">
      <c r="A59" s="27" t="s">
        <v>115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9" t="s">
        <v>36</v>
      </c>
      <c r="N59" s="29"/>
      <c r="O59" s="29"/>
      <c r="P59" s="29" t="s">
        <v>116</v>
      </c>
      <c r="Q59" s="29"/>
      <c r="R59" s="29"/>
      <c r="S59" s="56">
        <f>1000</f>
        <v>1000</v>
      </c>
      <c r="T59" s="56"/>
      <c r="U59" s="56"/>
      <c r="V59" s="56">
        <f>1000</f>
        <v>1000</v>
      </c>
      <c r="W59" s="56"/>
      <c r="X59" s="56"/>
      <c r="Y59" s="56"/>
      <c r="Z59" s="56"/>
      <c r="AA59" s="57">
        <f>0</f>
        <v>0</v>
      </c>
      <c r="AB59" s="57"/>
      <c r="AC59" s="57"/>
    </row>
    <row r="60" spans="1:29" s="1" customFormat="1" ht="13.5" customHeight="1">
      <c r="A60" s="55" t="s">
        <v>11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s="1" customFormat="1" ht="13.5" customHeight="1">
      <c r="A61" s="42" t="s">
        <v>117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29" s="1" customFormat="1" ht="34.5" customHeight="1">
      <c r="A62" s="43" t="s">
        <v>23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 t="s">
        <v>24</v>
      </c>
      <c r="M62" s="43"/>
      <c r="N62" s="43"/>
      <c r="O62" s="43" t="s">
        <v>118</v>
      </c>
      <c r="P62" s="43"/>
      <c r="Q62" s="43"/>
      <c r="R62" s="45" t="s">
        <v>119</v>
      </c>
      <c r="S62" s="45"/>
      <c r="T62" s="45" t="s">
        <v>26</v>
      </c>
      <c r="U62" s="45"/>
      <c r="V62" s="45"/>
      <c r="W62" s="45" t="s">
        <v>27</v>
      </c>
      <c r="X62" s="45"/>
      <c r="Y62" s="45"/>
      <c r="Z62" s="45"/>
      <c r="AA62" s="45"/>
      <c r="AB62" s="46" t="s">
        <v>28</v>
      </c>
      <c r="AC62" s="46"/>
    </row>
    <row r="63" spans="1:29" s="1" customFormat="1" ht="13.5" customHeight="1">
      <c r="A63" s="40" t="s">
        <v>29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 t="s">
        <v>30</v>
      </c>
      <c r="M63" s="40"/>
      <c r="N63" s="40"/>
      <c r="O63" s="40" t="s">
        <v>31</v>
      </c>
      <c r="P63" s="40"/>
      <c r="Q63" s="40"/>
      <c r="R63" s="41" t="s">
        <v>32</v>
      </c>
      <c r="S63" s="41"/>
      <c r="T63" s="41" t="s">
        <v>33</v>
      </c>
      <c r="U63" s="41"/>
      <c r="V63" s="41"/>
      <c r="W63" s="41" t="s">
        <v>34</v>
      </c>
      <c r="X63" s="41"/>
      <c r="Y63" s="41"/>
      <c r="Z63" s="41"/>
      <c r="AA63" s="41"/>
      <c r="AB63" s="44" t="s">
        <v>120</v>
      </c>
      <c r="AC63" s="44"/>
    </row>
    <row r="64" spans="1:29" s="1" customFormat="1" ht="13.5" customHeight="1">
      <c r="A64" s="35" t="s">
        <v>121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 t="s">
        <v>122</v>
      </c>
      <c r="M64" s="36"/>
      <c r="N64" s="36"/>
      <c r="O64" s="36" t="s">
        <v>37</v>
      </c>
      <c r="P64" s="36"/>
      <c r="Q64" s="36"/>
      <c r="R64" s="53" t="s">
        <v>37</v>
      </c>
      <c r="S64" s="53"/>
      <c r="T64" s="38">
        <f>68465086.35</f>
        <v>68465086.35</v>
      </c>
      <c r="U64" s="38"/>
      <c r="V64" s="38"/>
      <c r="W64" s="38">
        <f>59168693.3</f>
        <v>59168693.3</v>
      </c>
      <c r="X64" s="38"/>
      <c r="Y64" s="38"/>
      <c r="Z64" s="38"/>
      <c r="AA64" s="38"/>
      <c r="AB64" s="54">
        <f>9296393.05</f>
        <v>9296393.05</v>
      </c>
      <c r="AC64" s="54"/>
    </row>
    <row r="65" spans="1:29" s="1" customFormat="1" ht="13.5" customHeight="1">
      <c r="A65" s="14" t="s">
        <v>123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122</v>
      </c>
      <c r="M65" s="15"/>
      <c r="N65" s="15"/>
      <c r="O65" s="15" t="s">
        <v>124</v>
      </c>
      <c r="P65" s="15"/>
      <c r="Q65" s="15"/>
      <c r="R65" s="23" t="s">
        <v>125</v>
      </c>
      <c r="S65" s="23"/>
      <c r="T65" s="17">
        <f>1464252</f>
        <v>1464252</v>
      </c>
      <c r="U65" s="17"/>
      <c r="V65" s="17"/>
      <c r="W65" s="17">
        <f>1280770.65</f>
        <v>1280770.65</v>
      </c>
      <c r="X65" s="17"/>
      <c r="Y65" s="17"/>
      <c r="Z65" s="17"/>
      <c r="AA65" s="17"/>
      <c r="AB65" s="50">
        <f>183481.35</f>
        <v>183481.35</v>
      </c>
      <c r="AC65" s="50"/>
    </row>
    <row r="66" spans="1:29" s="1" customFormat="1" ht="13.5" customHeight="1">
      <c r="A66" s="14" t="s">
        <v>126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122</v>
      </c>
      <c r="M66" s="15"/>
      <c r="N66" s="15"/>
      <c r="O66" s="15" t="s">
        <v>127</v>
      </c>
      <c r="P66" s="15"/>
      <c r="Q66" s="15"/>
      <c r="R66" s="23" t="s">
        <v>128</v>
      </c>
      <c r="S66" s="23"/>
      <c r="T66" s="17">
        <f>92000</f>
        <v>92000</v>
      </c>
      <c r="U66" s="17"/>
      <c r="V66" s="17"/>
      <c r="W66" s="17">
        <f>92000</f>
        <v>92000</v>
      </c>
      <c r="X66" s="17"/>
      <c r="Y66" s="17"/>
      <c r="Z66" s="17"/>
      <c r="AA66" s="17"/>
      <c r="AB66" s="50">
        <f>0</f>
        <v>0</v>
      </c>
      <c r="AC66" s="50"/>
    </row>
    <row r="67" spans="1:29" s="1" customFormat="1" ht="13.5" customHeight="1">
      <c r="A67" s="14" t="s">
        <v>129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122</v>
      </c>
      <c r="M67" s="15"/>
      <c r="N67" s="15"/>
      <c r="O67" s="15" t="s">
        <v>127</v>
      </c>
      <c r="P67" s="15"/>
      <c r="Q67" s="15"/>
      <c r="R67" s="23" t="s">
        <v>130</v>
      </c>
      <c r="S67" s="23"/>
      <c r="T67" s="17">
        <f>58369.7</f>
        <v>58369.7</v>
      </c>
      <c r="U67" s="17"/>
      <c r="V67" s="17"/>
      <c r="W67" s="17">
        <f>58369.7</f>
        <v>58369.7</v>
      </c>
      <c r="X67" s="17"/>
      <c r="Y67" s="17"/>
      <c r="Z67" s="17"/>
      <c r="AA67" s="17"/>
      <c r="AB67" s="50">
        <f>0</f>
        <v>0</v>
      </c>
      <c r="AC67" s="50"/>
    </row>
    <row r="68" spans="1:29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122</v>
      </c>
      <c r="M68" s="15"/>
      <c r="N68" s="15"/>
      <c r="O68" s="15" t="s">
        <v>132</v>
      </c>
      <c r="P68" s="15"/>
      <c r="Q68" s="15"/>
      <c r="R68" s="23" t="s">
        <v>133</v>
      </c>
      <c r="S68" s="23"/>
      <c r="T68" s="17">
        <f>431705</f>
        <v>431705</v>
      </c>
      <c r="U68" s="17"/>
      <c r="V68" s="17"/>
      <c r="W68" s="17">
        <f>371600</f>
        <v>371600</v>
      </c>
      <c r="X68" s="17"/>
      <c r="Y68" s="17"/>
      <c r="Z68" s="17"/>
      <c r="AA68" s="17"/>
      <c r="AB68" s="50">
        <f>60105</f>
        <v>60105</v>
      </c>
      <c r="AC68" s="50"/>
    </row>
    <row r="69" spans="1:29" s="1" customFormat="1" ht="13.5" customHeight="1">
      <c r="A69" s="14" t="s">
        <v>123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122</v>
      </c>
      <c r="M69" s="15"/>
      <c r="N69" s="15"/>
      <c r="O69" s="15" t="s">
        <v>134</v>
      </c>
      <c r="P69" s="15"/>
      <c r="Q69" s="15"/>
      <c r="R69" s="23" t="s">
        <v>125</v>
      </c>
      <c r="S69" s="23"/>
      <c r="T69" s="17">
        <f>4849411</f>
        <v>4849411</v>
      </c>
      <c r="U69" s="17"/>
      <c r="V69" s="17"/>
      <c r="W69" s="17">
        <f>4338502.13</f>
        <v>4338502.13</v>
      </c>
      <c r="X69" s="17"/>
      <c r="Y69" s="17"/>
      <c r="Z69" s="17"/>
      <c r="AA69" s="17"/>
      <c r="AB69" s="50">
        <f>510908.87</f>
        <v>510908.87</v>
      </c>
      <c r="AC69" s="50"/>
    </row>
    <row r="70" spans="1:29" s="1" customFormat="1" ht="13.5" customHeight="1">
      <c r="A70" s="14" t="s">
        <v>135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122</v>
      </c>
      <c r="M70" s="15"/>
      <c r="N70" s="15"/>
      <c r="O70" s="15" t="s">
        <v>134</v>
      </c>
      <c r="P70" s="15"/>
      <c r="Q70" s="15"/>
      <c r="R70" s="23" t="s">
        <v>136</v>
      </c>
      <c r="S70" s="23"/>
      <c r="T70" s="17">
        <f>48000</f>
        <v>48000</v>
      </c>
      <c r="U70" s="17"/>
      <c r="V70" s="17"/>
      <c r="W70" s="17">
        <f>37734.12</f>
        <v>37734.12</v>
      </c>
      <c r="X70" s="17"/>
      <c r="Y70" s="17"/>
      <c r="Z70" s="17"/>
      <c r="AA70" s="17"/>
      <c r="AB70" s="50">
        <f>10265.88</f>
        <v>10265.88</v>
      </c>
      <c r="AC70" s="50"/>
    </row>
    <row r="71" spans="1:29" s="1" customFormat="1" ht="13.5" customHeight="1">
      <c r="A71" s="14" t="s">
        <v>126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122</v>
      </c>
      <c r="M71" s="15"/>
      <c r="N71" s="15"/>
      <c r="O71" s="15" t="s">
        <v>137</v>
      </c>
      <c r="P71" s="15"/>
      <c r="Q71" s="15"/>
      <c r="R71" s="23" t="s">
        <v>128</v>
      </c>
      <c r="S71" s="23"/>
      <c r="T71" s="17">
        <f>390000</f>
        <v>390000</v>
      </c>
      <c r="U71" s="17"/>
      <c r="V71" s="17"/>
      <c r="W71" s="17">
        <f>390000</f>
        <v>390000</v>
      </c>
      <c r="X71" s="17"/>
      <c r="Y71" s="17"/>
      <c r="Z71" s="17"/>
      <c r="AA71" s="17"/>
      <c r="AB71" s="50">
        <f>0</f>
        <v>0</v>
      </c>
      <c r="AC71" s="50"/>
    </row>
    <row r="72" spans="1:29" s="1" customFormat="1" ht="13.5" customHeight="1">
      <c r="A72" s="14" t="s">
        <v>129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122</v>
      </c>
      <c r="M72" s="15"/>
      <c r="N72" s="15"/>
      <c r="O72" s="15" t="s">
        <v>137</v>
      </c>
      <c r="P72" s="15"/>
      <c r="Q72" s="15"/>
      <c r="R72" s="23" t="s">
        <v>130</v>
      </c>
      <c r="S72" s="23"/>
      <c r="T72" s="17">
        <f>26728</f>
        <v>26728</v>
      </c>
      <c r="U72" s="17"/>
      <c r="V72" s="17"/>
      <c r="W72" s="17">
        <f>26728</f>
        <v>26728</v>
      </c>
      <c r="X72" s="17"/>
      <c r="Y72" s="17"/>
      <c r="Z72" s="17"/>
      <c r="AA72" s="17"/>
      <c r="AB72" s="50">
        <f>0</f>
        <v>0</v>
      </c>
      <c r="AC72" s="50"/>
    </row>
    <row r="73" spans="1:29" s="1" customFormat="1" ht="13.5" customHeight="1">
      <c r="A73" s="14" t="s">
        <v>131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122</v>
      </c>
      <c r="M73" s="15"/>
      <c r="N73" s="15"/>
      <c r="O73" s="15" t="s">
        <v>138</v>
      </c>
      <c r="P73" s="15"/>
      <c r="Q73" s="15"/>
      <c r="R73" s="23" t="s">
        <v>133</v>
      </c>
      <c r="S73" s="23"/>
      <c r="T73" s="17">
        <f>2034134.3</f>
        <v>2034134.3</v>
      </c>
      <c r="U73" s="17"/>
      <c r="V73" s="17"/>
      <c r="W73" s="17">
        <f>1918451.36</f>
        <v>1918451.36</v>
      </c>
      <c r="X73" s="17"/>
      <c r="Y73" s="17"/>
      <c r="Z73" s="17"/>
      <c r="AA73" s="17"/>
      <c r="AB73" s="50">
        <f>115682.94</f>
        <v>115682.94</v>
      </c>
      <c r="AC73" s="50"/>
    </row>
    <row r="74" spans="1:29" s="1" customFormat="1" ht="13.5" customHeight="1">
      <c r="A74" s="14" t="s">
        <v>139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122</v>
      </c>
      <c r="M74" s="15"/>
      <c r="N74" s="15"/>
      <c r="O74" s="15" t="s">
        <v>140</v>
      </c>
      <c r="P74" s="15"/>
      <c r="Q74" s="15"/>
      <c r="R74" s="23" t="s">
        <v>122</v>
      </c>
      <c r="S74" s="23"/>
      <c r="T74" s="17">
        <f>50000</f>
        <v>50000</v>
      </c>
      <c r="U74" s="17"/>
      <c r="V74" s="17"/>
      <c r="W74" s="21" t="s">
        <v>40</v>
      </c>
      <c r="X74" s="21"/>
      <c r="Y74" s="21"/>
      <c r="Z74" s="21"/>
      <c r="AA74" s="21"/>
      <c r="AB74" s="50">
        <f>50000</f>
        <v>50000</v>
      </c>
      <c r="AC74" s="50"/>
    </row>
    <row r="75" spans="1:29" s="1" customFormat="1" ht="13.5" customHeight="1">
      <c r="A75" s="14" t="s">
        <v>141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122</v>
      </c>
      <c r="M75" s="15"/>
      <c r="N75" s="15"/>
      <c r="O75" s="15" t="s">
        <v>142</v>
      </c>
      <c r="P75" s="15"/>
      <c r="Q75" s="15"/>
      <c r="R75" s="23" t="s">
        <v>143</v>
      </c>
      <c r="S75" s="23"/>
      <c r="T75" s="17">
        <f>10200</f>
        <v>10200</v>
      </c>
      <c r="U75" s="17"/>
      <c r="V75" s="17"/>
      <c r="W75" s="17">
        <f>10200</f>
        <v>10200</v>
      </c>
      <c r="X75" s="17"/>
      <c r="Y75" s="17"/>
      <c r="Z75" s="17"/>
      <c r="AA75" s="17"/>
      <c r="AB75" s="50">
        <f>0</f>
        <v>0</v>
      </c>
      <c r="AC75" s="50"/>
    </row>
    <row r="76" spans="1:29" s="1" customFormat="1" ht="13.5" customHeight="1">
      <c r="A76" s="14" t="s">
        <v>123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122</v>
      </c>
      <c r="M76" s="15"/>
      <c r="N76" s="15"/>
      <c r="O76" s="15" t="s">
        <v>144</v>
      </c>
      <c r="P76" s="15"/>
      <c r="Q76" s="15"/>
      <c r="R76" s="23" t="s">
        <v>125</v>
      </c>
      <c r="S76" s="23"/>
      <c r="T76" s="17">
        <f>7169628.61</f>
        <v>7169628.61</v>
      </c>
      <c r="U76" s="17"/>
      <c r="V76" s="17"/>
      <c r="W76" s="17">
        <f>5806242.93</f>
        <v>5806242.93</v>
      </c>
      <c r="X76" s="17"/>
      <c r="Y76" s="17"/>
      <c r="Z76" s="17"/>
      <c r="AA76" s="17"/>
      <c r="AB76" s="50">
        <f>1363385.68</f>
        <v>1363385.68</v>
      </c>
      <c r="AC76" s="50"/>
    </row>
    <row r="77" spans="1:29" s="1" customFormat="1" ht="13.5" customHeight="1">
      <c r="A77" s="14" t="s">
        <v>129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122</v>
      </c>
      <c r="M77" s="15"/>
      <c r="N77" s="15"/>
      <c r="O77" s="15" t="s">
        <v>145</v>
      </c>
      <c r="P77" s="15"/>
      <c r="Q77" s="15"/>
      <c r="R77" s="23" t="s">
        <v>130</v>
      </c>
      <c r="S77" s="23"/>
      <c r="T77" s="17">
        <f>46500</f>
        <v>46500</v>
      </c>
      <c r="U77" s="17"/>
      <c r="V77" s="17"/>
      <c r="W77" s="17">
        <f>46119.07</f>
        <v>46119.07</v>
      </c>
      <c r="X77" s="17"/>
      <c r="Y77" s="17"/>
      <c r="Z77" s="17"/>
      <c r="AA77" s="17"/>
      <c r="AB77" s="50">
        <f>380.93</f>
        <v>380.93</v>
      </c>
      <c r="AC77" s="50"/>
    </row>
    <row r="78" spans="1:29" s="1" customFormat="1" ht="13.5" customHeight="1">
      <c r="A78" s="14" t="s">
        <v>135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122</v>
      </c>
      <c r="M78" s="15"/>
      <c r="N78" s="15"/>
      <c r="O78" s="15" t="s">
        <v>145</v>
      </c>
      <c r="P78" s="15"/>
      <c r="Q78" s="15"/>
      <c r="R78" s="23" t="s">
        <v>136</v>
      </c>
      <c r="S78" s="23"/>
      <c r="T78" s="17">
        <f>50000</f>
        <v>50000</v>
      </c>
      <c r="U78" s="17"/>
      <c r="V78" s="17"/>
      <c r="W78" s="17">
        <f>29525.81</f>
        <v>29525.81</v>
      </c>
      <c r="X78" s="17"/>
      <c r="Y78" s="17"/>
      <c r="Z78" s="17"/>
      <c r="AA78" s="17"/>
      <c r="AB78" s="50">
        <f>20474.19</f>
        <v>20474.19</v>
      </c>
      <c r="AC78" s="50"/>
    </row>
    <row r="79" spans="1:29" s="1" customFormat="1" ht="13.5" customHeight="1">
      <c r="A79" s="14" t="s">
        <v>131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122</v>
      </c>
      <c r="M79" s="15"/>
      <c r="N79" s="15"/>
      <c r="O79" s="15" t="s">
        <v>146</v>
      </c>
      <c r="P79" s="15"/>
      <c r="Q79" s="15"/>
      <c r="R79" s="23" t="s">
        <v>133</v>
      </c>
      <c r="S79" s="23"/>
      <c r="T79" s="17">
        <f>2218577.84</f>
        <v>2218577.84</v>
      </c>
      <c r="U79" s="17"/>
      <c r="V79" s="17"/>
      <c r="W79" s="17">
        <f>1811781.88</f>
        <v>1811781.88</v>
      </c>
      <c r="X79" s="17"/>
      <c r="Y79" s="17"/>
      <c r="Z79" s="17"/>
      <c r="AA79" s="17"/>
      <c r="AB79" s="50">
        <f>406795.96</f>
        <v>406795.96</v>
      </c>
      <c r="AC79" s="50"/>
    </row>
    <row r="80" spans="1:29" s="1" customFormat="1" ht="13.5" customHeight="1">
      <c r="A80" s="14" t="s">
        <v>147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122</v>
      </c>
      <c r="M80" s="15"/>
      <c r="N80" s="15"/>
      <c r="O80" s="15" t="s">
        <v>148</v>
      </c>
      <c r="P80" s="15"/>
      <c r="Q80" s="15"/>
      <c r="R80" s="23" t="s">
        <v>149</v>
      </c>
      <c r="S80" s="23"/>
      <c r="T80" s="17">
        <f>2250</f>
        <v>2250</v>
      </c>
      <c r="U80" s="17"/>
      <c r="V80" s="17"/>
      <c r="W80" s="17">
        <f>2250</f>
        <v>2250</v>
      </c>
      <c r="X80" s="17"/>
      <c r="Y80" s="17"/>
      <c r="Z80" s="17"/>
      <c r="AA80" s="17"/>
      <c r="AB80" s="50">
        <f>0</f>
        <v>0</v>
      </c>
      <c r="AC80" s="50"/>
    </row>
    <row r="81" spans="1:29" s="1" customFormat="1" ht="13.5" customHeight="1">
      <c r="A81" s="14" t="s">
        <v>147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122</v>
      </c>
      <c r="M81" s="15"/>
      <c r="N81" s="15"/>
      <c r="O81" s="15" t="s">
        <v>150</v>
      </c>
      <c r="P81" s="15"/>
      <c r="Q81" s="15"/>
      <c r="R81" s="23" t="s">
        <v>149</v>
      </c>
      <c r="S81" s="23"/>
      <c r="T81" s="17">
        <f>12000</f>
        <v>12000</v>
      </c>
      <c r="U81" s="17"/>
      <c r="V81" s="17"/>
      <c r="W81" s="17">
        <f>12000</f>
        <v>12000</v>
      </c>
      <c r="X81" s="17"/>
      <c r="Y81" s="17"/>
      <c r="Z81" s="17"/>
      <c r="AA81" s="17"/>
      <c r="AB81" s="50">
        <f>0</f>
        <v>0</v>
      </c>
      <c r="AC81" s="50"/>
    </row>
    <row r="82" spans="1:29" s="1" customFormat="1" ht="13.5" customHeight="1">
      <c r="A82" s="14" t="s">
        <v>151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122</v>
      </c>
      <c r="M82" s="15"/>
      <c r="N82" s="15"/>
      <c r="O82" s="15" t="s">
        <v>150</v>
      </c>
      <c r="P82" s="15"/>
      <c r="Q82" s="15"/>
      <c r="R82" s="23" t="s">
        <v>152</v>
      </c>
      <c r="S82" s="23"/>
      <c r="T82" s="17">
        <f>7750</f>
        <v>7750</v>
      </c>
      <c r="U82" s="17"/>
      <c r="V82" s="17"/>
      <c r="W82" s="21" t="s">
        <v>40</v>
      </c>
      <c r="X82" s="21"/>
      <c r="Y82" s="21"/>
      <c r="Z82" s="21"/>
      <c r="AA82" s="21"/>
      <c r="AB82" s="50">
        <f>7750</f>
        <v>7750</v>
      </c>
      <c r="AC82" s="50"/>
    </row>
    <row r="83" spans="1:29" s="1" customFormat="1" ht="13.5" customHeight="1">
      <c r="A83" s="14" t="s">
        <v>153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122</v>
      </c>
      <c r="M83" s="15"/>
      <c r="N83" s="15"/>
      <c r="O83" s="15" t="s">
        <v>150</v>
      </c>
      <c r="P83" s="15"/>
      <c r="Q83" s="15"/>
      <c r="R83" s="23" t="s">
        <v>154</v>
      </c>
      <c r="S83" s="23"/>
      <c r="T83" s="17">
        <f>832020</f>
        <v>832020</v>
      </c>
      <c r="U83" s="17"/>
      <c r="V83" s="17"/>
      <c r="W83" s="17">
        <f>539751.04</f>
        <v>539751.04</v>
      </c>
      <c r="X83" s="17"/>
      <c r="Y83" s="17"/>
      <c r="Z83" s="17"/>
      <c r="AA83" s="17"/>
      <c r="AB83" s="50">
        <f>292268.96</f>
        <v>292268.96</v>
      </c>
      <c r="AC83" s="50"/>
    </row>
    <row r="84" spans="1:29" s="1" customFormat="1" ht="13.5" customHeight="1">
      <c r="A84" s="14" t="s">
        <v>155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122</v>
      </c>
      <c r="M84" s="15"/>
      <c r="N84" s="15"/>
      <c r="O84" s="15" t="s">
        <v>150</v>
      </c>
      <c r="P84" s="15"/>
      <c r="Q84" s="15"/>
      <c r="R84" s="23" t="s">
        <v>156</v>
      </c>
      <c r="S84" s="23"/>
      <c r="T84" s="17">
        <f>828000</f>
        <v>828000</v>
      </c>
      <c r="U84" s="17"/>
      <c r="V84" s="17"/>
      <c r="W84" s="17">
        <f>615445.36</f>
        <v>615445.36</v>
      </c>
      <c r="X84" s="17"/>
      <c r="Y84" s="17"/>
      <c r="Z84" s="17"/>
      <c r="AA84" s="17"/>
      <c r="AB84" s="50">
        <f>212554.64</f>
        <v>212554.64</v>
      </c>
      <c r="AC84" s="50"/>
    </row>
    <row r="85" spans="1:29" s="1" customFormat="1" ht="13.5" customHeight="1">
      <c r="A85" s="14" t="s">
        <v>141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122</v>
      </c>
      <c r="M85" s="15"/>
      <c r="N85" s="15"/>
      <c r="O85" s="15" t="s">
        <v>150</v>
      </c>
      <c r="P85" s="15"/>
      <c r="Q85" s="15"/>
      <c r="R85" s="23" t="s">
        <v>143</v>
      </c>
      <c r="S85" s="23"/>
      <c r="T85" s="17">
        <f>252122.3</f>
        <v>252122.3</v>
      </c>
      <c r="U85" s="17"/>
      <c r="V85" s="17"/>
      <c r="W85" s="17">
        <f>172120</f>
        <v>172120</v>
      </c>
      <c r="X85" s="17"/>
      <c r="Y85" s="17"/>
      <c r="Z85" s="17"/>
      <c r="AA85" s="17"/>
      <c r="AB85" s="50">
        <f>80002.3</f>
        <v>80002.3</v>
      </c>
      <c r="AC85" s="50"/>
    </row>
    <row r="86" spans="1:29" s="1" customFormat="1" ht="13.5" customHeight="1">
      <c r="A86" s="14" t="s">
        <v>157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122</v>
      </c>
      <c r="M86" s="15"/>
      <c r="N86" s="15"/>
      <c r="O86" s="15" t="s">
        <v>150</v>
      </c>
      <c r="P86" s="15"/>
      <c r="Q86" s="15"/>
      <c r="R86" s="23" t="s">
        <v>158</v>
      </c>
      <c r="S86" s="23"/>
      <c r="T86" s="17">
        <f>30000</f>
        <v>30000</v>
      </c>
      <c r="U86" s="17"/>
      <c r="V86" s="17"/>
      <c r="W86" s="17">
        <f>9040.29</f>
        <v>9040.29</v>
      </c>
      <c r="X86" s="17"/>
      <c r="Y86" s="17"/>
      <c r="Z86" s="17"/>
      <c r="AA86" s="17"/>
      <c r="AB86" s="50">
        <f>20959.71</f>
        <v>20959.71</v>
      </c>
      <c r="AC86" s="50"/>
    </row>
    <row r="87" spans="1:29" s="1" customFormat="1" ht="13.5" customHeight="1">
      <c r="A87" s="14" t="s">
        <v>159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122</v>
      </c>
      <c r="M87" s="15"/>
      <c r="N87" s="15"/>
      <c r="O87" s="15" t="s">
        <v>150</v>
      </c>
      <c r="P87" s="15"/>
      <c r="Q87" s="15"/>
      <c r="R87" s="23" t="s">
        <v>160</v>
      </c>
      <c r="S87" s="23"/>
      <c r="T87" s="17">
        <f>140000</f>
        <v>140000</v>
      </c>
      <c r="U87" s="17"/>
      <c r="V87" s="17"/>
      <c r="W87" s="17">
        <f>104560</f>
        <v>104560</v>
      </c>
      <c r="X87" s="17"/>
      <c r="Y87" s="17"/>
      <c r="Z87" s="17"/>
      <c r="AA87" s="17"/>
      <c r="AB87" s="50">
        <f>35440</f>
        <v>35440</v>
      </c>
      <c r="AC87" s="50"/>
    </row>
    <row r="88" spans="1:29" s="1" customFormat="1" ht="13.5" customHeight="1">
      <c r="A88" s="14" t="s">
        <v>161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122</v>
      </c>
      <c r="M88" s="15"/>
      <c r="N88" s="15"/>
      <c r="O88" s="15" t="s">
        <v>150</v>
      </c>
      <c r="P88" s="15"/>
      <c r="Q88" s="15"/>
      <c r="R88" s="23" t="s">
        <v>162</v>
      </c>
      <c r="S88" s="23"/>
      <c r="T88" s="17">
        <f>700000</f>
        <v>700000</v>
      </c>
      <c r="U88" s="17"/>
      <c r="V88" s="17"/>
      <c r="W88" s="17">
        <f>641464.2</f>
        <v>641464.2</v>
      </c>
      <c r="X88" s="17"/>
      <c r="Y88" s="17"/>
      <c r="Z88" s="17"/>
      <c r="AA88" s="17"/>
      <c r="AB88" s="50">
        <f>58535.8</f>
        <v>58535.8</v>
      </c>
      <c r="AC88" s="50"/>
    </row>
    <row r="89" spans="1:29" s="1" customFormat="1" ht="13.5" customHeight="1">
      <c r="A89" s="14" t="s">
        <v>163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122</v>
      </c>
      <c r="M89" s="15"/>
      <c r="N89" s="15"/>
      <c r="O89" s="15" t="s">
        <v>150</v>
      </c>
      <c r="P89" s="15"/>
      <c r="Q89" s="15"/>
      <c r="R89" s="23" t="s">
        <v>164</v>
      </c>
      <c r="S89" s="23"/>
      <c r="T89" s="17">
        <f>25100</f>
        <v>25100</v>
      </c>
      <c r="U89" s="17"/>
      <c r="V89" s="17"/>
      <c r="W89" s="17">
        <f>25098</f>
        <v>25098</v>
      </c>
      <c r="X89" s="17"/>
      <c r="Y89" s="17"/>
      <c r="Z89" s="17"/>
      <c r="AA89" s="17"/>
      <c r="AB89" s="50">
        <f>2</f>
        <v>2</v>
      </c>
      <c r="AC89" s="50"/>
    </row>
    <row r="90" spans="1:29" s="1" customFormat="1" ht="13.5" customHeight="1">
      <c r="A90" s="14" t="s">
        <v>165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122</v>
      </c>
      <c r="M90" s="15"/>
      <c r="N90" s="15"/>
      <c r="O90" s="15" t="s">
        <v>150</v>
      </c>
      <c r="P90" s="15"/>
      <c r="Q90" s="15"/>
      <c r="R90" s="23" t="s">
        <v>166</v>
      </c>
      <c r="S90" s="23"/>
      <c r="T90" s="17">
        <f>37688.58</f>
        <v>37688.58</v>
      </c>
      <c r="U90" s="17"/>
      <c r="V90" s="17"/>
      <c r="W90" s="17">
        <f>36726.9</f>
        <v>36726.9</v>
      </c>
      <c r="X90" s="17"/>
      <c r="Y90" s="17"/>
      <c r="Z90" s="17"/>
      <c r="AA90" s="17"/>
      <c r="AB90" s="50">
        <f>961.68</f>
        <v>961.68</v>
      </c>
      <c r="AC90" s="50"/>
    </row>
    <row r="91" spans="1:29" s="1" customFormat="1" ht="13.5" customHeight="1">
      <c r="A91" s="14" t="s">
        <v>167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122</v>
      </c>
      <c r="M91" s="15"/>
      <c r="N91" s="15"/>
      <c r="O91" s="15" t="s">
        <v>150</v>
      </c>
      <c r="P91" s="15"/>
      <c r="Q91" s="15"/>
      <c r="R91" s="23" t="s">
        <v>168</v>
      </c>
      <c r="S91" s="23"/>
      <c r="T91" s="17">
        <f>543680</f>
        <v>543680</v>
      </c>
      <c r="U91" s="17"/>
      <c r="V91" s="17"/>
      <c r="W91" s="17">
        <f>426421.58</f>
        <v>426421.58</v>
      </c>
      <c r="X91" s="17"/>
      <c r="Y91" s="17"/>
      <c r="Z91" s="17"/>
      <c r="AA91" s="17"/>
      <c r="AB91" s="50">
        <f>117258.42</f>
        <v>117258.42</v>
      </c>
      <c r="AC91" s="50"/>
    </row>
    <row r="92" spans="1:29" s="1" customFormat="1" ht="24" customHeight="1">
      <c r="A92" s="14" t="s">
        <v>169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122</v>
      </c>
      <c r="M92" s="15"/>
      <c r="N92" s="15"/>
      <c r="O92" s="15" t="s">
        <v>150</v>
      </c>
      <c r="P92" s="15"/>
      <c r="Q92" s="15"/>
      <c r="R92" s="23" t="s">
        <v>170</v>
      </c>
      <c r="S92" s="23"/>
      <c r="T92" s="17">
        <f>22000</f>
        <v>22000</v>
      </c>
      <c r="U92" s="17"/>
      <c r="V92" s="17"/>
      <c r="W92" s="17">
        <f>12030</f>
        <v>12030</v>
      </c>
      <c r="X92" s="17"/>
      <c r="Y92" s="17"/>
      <c r="Z92" s="17"/>
      <c r="AA92" s="17"/>
      <c r="AB92" s="50">
        <f>9970</f>
        <v>9970</v>
      </c>
      <c r="AC92" s="50"/>
    </row>
    <row r="93" spans="1:29" s="1" customFormat="1" ht="13.5" customHeight="1">
      <c r="A93" s="14" t="s">
        <v>171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122</v>
      </c>
      <c r="M93" s="15"/>
      <c r="N93" s="15"/>
      <c r="O93" s="15" t="s">
        <v>172</v>
      </c>
      <c r="P93" s="15"/>
      <c r="Q93" s="15"/>
      <c r="R93" s="23" t="s">
        <v>173</v>
      </c>
      <c r="S93" s="23"/>
      <c r="T93" s="17">
        <f>9000</f>
        <v>9000</v>
      </c>
      <c r="U93" s="17"/>
      <c r="V93" s="17"/>
      <c r="W93" s="17">
        <f>9000</f>
        <v>9000</v>
      </c>
      <c r="X93" s="17"/>
      <c r="Y93" s="17"/>
      <c r="Z93" s="17"/>
      <c r="AA93" s="17"/>
      <c r="AB93" s="50">
        <f>0</f>
        <v>0</v>
      </c>
      <c r="AC93" s="50"/>
    </row>
    <row r="94" spans="1:29" s="1" customFormat="1" ht="13.5" customHeight="1">
      <c r="A94" s="14" t="s">
        <v>174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122</v>
      </c>
      <c r="M94" s="15"/>
      <c r="N94" s="15"/>
      <c r="O94" s="15" t="s">
        <v>175</v>
      </c>
      <c r="P94" s="15"/>
      <c r="Q94" s="15"/>
      <c r="R94" s="23" t="s">
        <v>176</v>
      </c>
      <c r="S94" s="23"/>
      <c r="T94" s="17">
        <f>8500</f>
        <v>8500</v>
      </c>
      <c r="U94" s="17"/>
      <c r="V94" s="17"/>
      <c r="W94" s="21" t="s">
        <v>40</v>
      </c>
      <c r="X94" s="21"/>
      <c r="Y94" s="21"/>
      <c r="Z94" s="21"/>
      <c r="AA94" s="21"/>
      <c r="AB94" s="50">
        <f>8500</f>
        <v>8500</v>
      </c>
      <c r="AC94" s="50"/>
    </row>
    <row r="95" spans="1:29" s="1" customFormat="1" ht="24" customHeight="1">
      <c r="A95" s="14" t="s">
        <v>177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122</v>
      </c>
      <c r="M95" s="15"/>
      <c r="N95" s="15"/>
      <c r="O95" s="15" t="s">
        <v>178</v>
      </c>
      <c r="P95" s="15"/>
      <c r="Q95" s="15"/>
      <c r="R95" s="23" t="s">
        <v>179</v>
      </c>
      <c r="S95" s="23"/>
      <c r="T95" s="17">
        <f>6980</f>
        <v>6980</v>
      </c>
      <c r="U95" s="17"/>
      <c r="V95" s="17"/>
      <c r="W95" s="17">
        <f>2218.94</f>
        <v>2218.94</v>
      </c>
      <c r="X95" s="17"/>
      <c r="Y95" s="17"/>
      <c r="Z95" s="17"/>
      <c r="AA95" s="17"/>
      <c r="AB95" s="50">
        <f>4761.06</f>
        <v>4761.06</v>
      </c>
      <c r="AC95" s="50"/>
    </row>
    <row r="96" spans="1:29" s="1" customFormat="1" ht="13.5" customHeight="1">
      <c r="A96" s="14" t="s">
        <v>141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122</v>
      </c>
      <c r="M96" s="15"/>
      <c r="N96" s="15"/>
      <c r="O96" s="15" t="s">
        <v>180</v>
      </c>
      <c r="P96" s="15"/>
      <c r="Q96" s="15"/>
      <c r="R96" s="23" t="s">
        <v>143</v>
      </c>
      <c r="S96" s="23"/>
      <c r="T96" s="17">
        <f>340000</f>
        <v>340000</v>
      </c>
      <c r="U96" s="17"/>
      <c r="V96" s="17"/>
      <c r="W96" s="17">
        <f>272579.35</f>
        <v>272579.35</v>
      </c>
      <c r="X96" s="17"/>
      <c r="Y96" s="17"/>
      <c r="Z96" s="17"/>
      <c r="AA96" s="17"/>
      <c r="AB96" s="50">
        <f>67420.65</f>
        <v>67420.65</v>
      </c>
      <c r="AC96" s="50"/>
    </row>
    <row r="97" spans="1:29" s="1" customFormat="1" ht="13.5" customHeight="1">
      <c r="A97" s="14" t="s">
        <v>174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122</v>
      </c>
      <c r="M97" s="15"/>
      <c r="N97" s="15"/>
      <c r="O97" s="15" t="s">
        <v>181</v>
      </c>
      <c r="P97" s="15"/>
      <c r="Q97" s="15"/>
      <c r="R97" s="23" t="s">
        <v>176</v>
      </c>
      <c r="S97" s="23"/>
      <c r="T97" s="17">
        <f>254500</f>
        <v>254500</v>
      </c>
      <c r="U97" s="17"/>
      <c r="V97" s="17"/>
      <c r="W97" s="17">
        <f>254500</f>
        <v>254500</v>
      </c>
      <c r="X97" s="17"/>
      <c r="Y97" s="17"/>
      <c r="Z97" s="17"/>
      <c r="AA97" s="17"/>
      <c r="AB97" s="50">
        <f>0</f>
        <v>0</v>
      </c>
      <c r="AC97" s="50"/>
    </row>
    <row r="98" spans="1:29" s="1" customFormat="1" ht="13.5" customHeight="1">
      <c r="A98" s="14" t="s">
        <v>174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122</v>
      </c>
      <c r="M98" s="15"/>
      <c r="N98" s="15"/>
      <c r="O98" s="15" t="s">
        <v>182</v>
      </c>
      <c r="P98" s="15"/>
      <c r="Q98" s="15"/>
      <c r="R98" s="23" t="s">
        <v>176</v>
      </c>
      <c r="S98" s="23"/>
      <c r="T98" s="17">
        <f>35700</f>
        <v>35700</v>
      </c>
      <c r="U98" s="17"/>
      <c r="V98" s="17"/>
      <c r="W98" s="17">
        <f>29700</f>
        <v>29700</v>
      </c>
      <c r="X98" s="17"/>
      <c r="Y98" s="17"/>
      <c r="Z98" s="17"/>
      <c r="AA98" s="17"/>
      <c r="AB98" s="50">
        <f>6000</f>
        <v>6000</v>
      </c>
      <c r="AC98" s="50"/>
    </row>
    <row r="99" spans="1:29" s="1" customFormat="1" ht="13.5" customHeight="1">
      <c r="A99" s="14" t="s">
        <v>183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122</v>
      </c>
      <c r="M99" s="15"/>
      <c r="N99" s="15"/>
      <c r="O99" s="15" t="s">
        <v>184</v>
      </c>
      <c r="P99" s="15"/>
      <c r="Q99" s="15"/>
      <c r="R99" s="23" t="s">
        <v>185</v>
      </c>
      <c r="S99" s="23"/>
      <c r="T99" s="17">
        <f>15000</f>
        <v>15000</v>
      </c>
      <c r="U99" s="17"/>
      <c r="V99" s="17"/>
      <c r="W99" s="17">
        <f>15000</f>
        <v>15000</v>
      </c>
      <c r="X99" s="17"/>
      <c r="Y99" s="17"/>
      <c r="Z99" s="17"/>
      <c r="AA99" s="17"/>
      <c r="AB99" s="50">
        <f>0</f>
        <v>0</v>
      </c>
      <c r="AC99" s="50"/>
    </row>
    <row r="100" spans="1:29" s="1" customFormat="1" ht="13.5" customHeight="1">
      <c r="A100" s="14" t="s">
        <v>123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122</v>
      </c>
      <c r="M100" s="15"/>
      <c r="N100" s="15"/>
      <c r="O100" s="15" t="s">
        <v>186</v>
      </c>
      <c r="P100" s="15"/>
      <c r="Q100" s="15"/>
      <c r="R100" s="23" t="s">
        <v>125</v>
      </c>
      <c r="S100" s="23"/>
      <c r="T100" s="17">
        <f>170743</f>
        <v>170743</v>
      </c>
      <c r="U100" s="17"/>
      <c r="V100" s="17"/>
      <c r="W100" s="17">
        <f>145416.65</f>
        <v>145416.65</v>
      </c>
      <c r="X100" s="17"/>
      <c r="Y100" s="17"/>
      <c r="Z100" s="17"/>
      <c r="AA100" s="17"/>
      <c r="AB100" s="50">
        <f>25326.35</f>
        <v>25326.35</v>
      </c>
      <c r="AC100" s="50"/>
    </row>
    <row r="101" spans="1:29" s="1" customFormat="1" ht="13.5" customHeight="1">
      <c r="A101" s="14" t="s">
        <v>135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122</v>
      </c>
      <c r="M101" s="15"/>
      <c r="N101" s="15"/>
      <c r="O101" s="15" t="s">
        <v>186</v>
      </c>
      <c r="P101" s="15"/>
      <c r="Q101" s="15"/>
      <c r="R101" s="23" t="s">
        <v>136</v>
      </c>
      <c r="S101" s="23"/>
      <c r="T101" s="17">
        <f>15000</f>
        <v>15000</v>
      </c>
      <c r="U101" s="17"/>
      <c r="V101" s="17"/>
      <c r="W101" s="17">
        <f>1094.04</f>
        <v>1094.04</v>
      </c>
      <c r="X101" s="17"/>
      <c r="Y101" s="17"/>
      <c r="Z101" s="17"/>
      <c r="AA101" s="17"/>
      <c r="AB101" s="50">
        <f>13905.96</f>
        <v>13905.96</v>
      </c>
      <c r="AC101" s="50"/>
    </row>
    <row r="102" spans="1:29" s="1" customFormat="1" ht="13.5" customHeight="1">
      <c r="A102" s="14" t="s">
        <v>131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122</v>
      </c>
      <c r="M102" s="15"/>
      <c r="N102" s="15"/>
      <c r="O102" s="15" t="s">
        <v>187</v>
      </c>
      <c r="P102" s="15"/>
      <c r="Q102" s="15"/>
      <c r="R102" s="23" t="s">
        <v>133</v>
      </c>
      <c r="S102" s="23"/>
      <c r="T102" s="17">
        <f>53180.78</f>
        <v>53180.78</v>
      </c>
      <c r="U102" s="17"/>
      <c r="V102" s="17"/>
      <c r="W102" s="17">
        <f>41151.06</f>
        <v>41151.06</v>
      </c>
      <c r="X102" s="17"/>
      <c r="Y102" s="17"/>
      <c r="Z102" s="17"/>
      <c r="AA102" s="17"/>
      <c r="AB102" s="50">
        <f>12029.72</f>
        <v>12029.72</v>
      </c>
      <c r="AC102" s="50"/>
    </row>
    <row r="103" spans="1:29" s="1" customFormat="1" ht="13.5" customHeight="1">
      <c r="A103" s="14" t="s">
        <v>155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122</v>
      </c>
      <c r="M103" s="15"/>
      <c r="N103" s="15"/>
      <c r="O103" s="15" t="s">
        <v>188</v>
      </c>
      <c r="P103" s="15"/>
      <c r="Q103" s="15"/>
      <c r="R103" s="23" t="s">
        <v>156</v>
      </c>
      <c r="S103" s="23"/>
      <c r="T103" s="17">
        <f>106000</f>
        <v>106000</v>
      </c>
      <c r="U103" s="17"/>
      <c r="V103" s="17"/>
      <c r="W103" s="17">
        <f>83693.51</f>
        <v>83693.51</v>
      </c>
      <c r="X103" s="17"/>
      <c r="Y103" s="17"/>
      <c r="Z103" s="17"/>
      <c r="AA103" s="17"/>
      <c r="AB103" s="50">
        <f>22306.49</f>
        <v>22306.49</v>
      </c>
      <c r="AC103" s="50"/>
    </row>
    <row r="104" spans="1:29" s="1" customFormat="1" ht="13.5" customHeight="1">
      <c r="A104" s="14" t="s">
        <v>155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122</v>
      </c>
      <c r="M104" s="15"/>
      <c r="N104" s="15"/>
      <c r="O104" s="15" t="s">
        <v>189</v>
      </c>
      <c r="P104" s="15"/>
      <c r="Q104" s="15"/>
      <c r="R104" s="23" t="s">
        <v>156</v>
      </c>
      <c r="S104" s="23"/>
      <c r="T104" s="17">
        <f>393420.15</f>
        <v>393420.15</v>
      </c>
      <c r="U104" s="17"/>
      <c r="V104" s="17"/>
      <c r="W104" s="17">
        <f>393420.15</f>
        <v>393420.15</v>
      </c>
      <c r="X104" s="17"/>
      <c r="Y104" s="17"/>
      <c r="Z104" s="17"/>
      <c r="AA104" s="17"/>
      <c r="AB104" s="50">
        <f>0</f>
        <v>0</v>
      </c>
      <c r="AC104" s="50"/>
    </row>
    <row r="105" spans="1:29" s="1" customFormat="1" ht="13.5" customHeight="1">
      <c r="A105" s="14" t="s">
        <v>155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122</v>
      </c>
      <c r="M105" s="15"/>
      <c r="N105" s="15"/>
      <c r="O105" s="15" t="s">
        <v>190</v>
      </c>
      <c r="P105" s="15"/>
      <c r="Q105" s="15"/>
      <c r="R105" s="23" t="s">
        <v>156</v>
      </c>
      <c r="S105" s="23"/>
      <c r="T105" s="17">
        <f>249564.8</f>
        <v>249564.8</v>
      </c>
      <c r="U105" s="17"/>
      <c r="V105" s="17"/>
      <c r="W105" s="17">
        <f>53004.8</f>
        <v>53004.8</v>
      </c>
      <c r="X105" s="17"/>
      <c r="Y105" s="17"/>
      <c r="Z105" s="17"/>
      <c r="AA105" s="17"/>
      <c r="AB105" s="50">
        <f>196560</f>
        <v>196560</v>
      </c>
      <c r="AC105" s="50"/>
    </row>
    <row r="106" spans="1:29" s="1" customFormat="1" ht="24" customHeight="1">
      <c r="A106" s="14" t="s">
        <v>169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122</v>
      </c>
      <c r="M106" s="15"/>
      <c r="N106" s="15"/>
      <c r="O106" s="15" t="s">
        <v>191</v>
      </c>
      <c r="P106" s="15"/>
      <c r="Q106" s="15"/>
      <c r="R106" s="23" t="s">
        <v>170</v>
      </c>
      <c r="S106" s="23"/>
      <c r="T106" s="17">
        <f>5000</f>
        <v>5000</v>
      </c>
      <c r="U106" s="17"/>
      <c r="V106" s="17"/>
      <c r="W106" s="21" t="s">
        <v>40</v>
      </c>
      <c r="X106" s="21"/>
      <c r="Y106" s="21"/>
      <c r="Z106" s="21"/>
      <c r="AA106" s="21"/>
      <c r="AB106" s="50">
        <f>5000</f>
        <v>5000</v>
      </c>
      <c r="AC106" s="50"/>
    </row>
    <row r="107" spans="1:29" s="1" customFormat="1" ht="13.5" customHeight="1">
      <c r="A107" s="14" t="s">
        <v>141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122</v>
      </c>
      <c r="M107" s="15"/>
      <c r="N107" s="15"/>
      <c r="O107" s="15" t="s">
        <v>192</v>
      </c>
      <c r="P107" s="15"/>
      <c r="Q107" s="15"/>
      <c r="R107" s="23" t="s">
        <v>143</v>
      </c>
      <c r="S107" s="23"/>
      <c r="T107" s="17">
        <f>14478.26</f>
        <v>14478.26</v>
      </c>
      <c r="U107" s="17"/>
      <c r="V107" s="17"/>
      <c r="W107" s="17">
        <f>14478.26</f>
        <v>14478.26</v>
      </c>
      <c r="X107" s="17"/>
      <c r="Y107" s="17"/>
      <c r="Z107" s="17"/>
      <c r="AA107" s="17"/>
      <c r="AB107" s="50">
        <f>0</f>
        <v>0</v>
      </c>
      <c r="AC107" s="50"/>
    </row>
    <row r="108" spans="1:29" s="1" customFormat="1" ht="13.5" customHeight="1">
      <c r="A108" s="14" t="s">
        <v>141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122</v>
      </c>
      <c r="M108" s="15"/>
      <c r="N108" s="15"/>
      <c r="O108" s="15" t="s">
        <v>193</v>
      </c>
      <c r="P108" s="15"/>
      <c r="Q108" s="15"/>
      <c r="R108" s="23" t="s">
        <v>143</v>
      </c>
      <c r="S108" s="23"/>
      <c r="T108" s="17">
        <f>14478.26</f>
        <v>14478.26</v>
      </c>
      <c r="U108" s="17"/>
      <c r="V108" s="17"/>
      <c r="W108" s="17">
        <f>14478.26</f>
        <v>14478.26</v>
      </c>
      <c r="X108" s="17"/>
      <c r="Y108" s="17"/>
      <c r="Z108" s="17"/>
      <c r="AA108" s="17"/>
      <c r="AB108" s="50">
        <f>0</f>
        <v>0</v>
      </c>
      <c r="AC108" s="50"/>
    </row>
    <row r="109" spans="1:29" s="1" customFormat="1" ht="13.5" customHeight="1">
      <c r="A109" s="14" t="s">
        <v>155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122</v>
      </c>
      <c r="M109" s="15"/>
      <c r="N109" s="15"/>
      <c r="O109" s="15" t="s">
        <v>194</v>
      </c>
      <c r="P109" s="15"/>
      <c r="Q109" s="15"/>
      <c r="R109" s="23" t="s">
        <v>156</v>
      </c>
      <c r="S109" s="23"/>
      <c r="T109" s="17">
        <f>319500</f>
        <v>319500</v>
      </c>
      <c r="U109" s="17"/>
      <c r="V109" s="17"/>
      <c r="W109" s="17">
        <f>252000</f>
        <v>252000</v>
      </c>
      <c r="X109" s="17"/>
      <c r="Y109" s="17"/>
      <c r="Z109" s="17"/>
      <c r="AA109" s="17"/>
      <c r="AB109" s="50">
        <f>67500</f>
        <v>67500</v>
      </c>
      <c r="AC109" s="50"/>
    </row>
    <row r="110" spans="1:29" s="1" customFormat="1" ht="13.5" customHeight="1">
      <c r="A110" s="14" t="s">
        <v>141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122</v>
      </c>
      <c r="M110" s="15"/>
      <c r="N110" s="15"/>
      <c r="O110" s="15" t="s">
        <v>195</v>
      </c>
      <c r="P110" s="15"/>
      <c r="Q110" s="15"/>
      <c r="R110" s="23" t="s">
        <v>143</v>
      </c>
      <c r="S110" s="23"/>
      <c r="T110" s="17">
        <f>20276</f>
        <v>20276</v>
      </c>
      <c r="U110" s="17"/>
      <c r="V110" s="17"/>
      <c r="W110" s="17">
        <f>20276</f>
        <v>20276</v>
      </c>
      <c r="X110" s="17"/>
      <c r="Y110" s="17"/>
      <c r="Z110" s="17"/>
      <c r="AA110" s="17"/>
      <c r="AB110" s="50">
        <f>0</f>
        <v>0</v>
      </c>
      <c r="AC110" s="50"/>
    </row>
    <row r="111" spans="1:29" s="1" customFormat="1" ht="13.5" customHeight="1">
      <c r="A111" s="14" t="s">
        <v>155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122</v>
      </c>
      <c r="M111" s="15"/>
      <c r="N111" s="15"/>
      <c r="O111" s="15" t="s">
        <v>196</v>
      </c>
      <c r="P111" s="15"/>
      <c r="Q111" s="15"/>
      <c r="R111" s="23" t="s">
        <v>156</v>
      </c>
      <c r="S111" s="23"/>
      <c r="T111" s="17">
        <f>1824501.98</f>
        <v>1824501.98</v>
      </c>
      <c r="U111" s="17"/>
      <c r="V111" s="17"/>
      <c r="W111" s="17">
        <f>1115329.6</f>
        <v>1115329.6</v>
      </c>
      <c r="X111" s="17"/>
      <c r="Y111" s="17"/>
      <c r="Z111" s="17"/>
      <c r="AA111" s="17"/>
      <c r="AB111" s="50">
        <f>709172.38</f>
        <v>709172.38</v>
      </c>
      <c r="AC111" s="50"/>
    </row>
    <row r="112" spans="1:29" s="1" customFormat="1" ht="13.5" customHeight="1">
      <c r="A112" s="14" t="s">
        <v>147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122</v>
      </c>
      <c r="M112" s="15"/>
      <c r="N112" s="15"/>
      <c r="O112" s="15" t="s">
        <v>197</v>
      </c>
      <c r="P112" s="15"/>
      <c r="Q112" s="15"/>
      <c r="R112" s="23" t="s">
        <v>149</v>
      </c>
      <c r="S112" s="23"/>
      <c r="T112" s="17">
        <f>309000</f>
        <v>309000</v>
      </c>
      <c r="U112" s="17"/>
      <c r="V112" s="17"/>
      <c r="W112" s="17">
        <f>258276.44</f>
        <v>258276.44</v>
      </c>
      <c r="X112" s="17"/>
      <c r="Y112" s="17"/>
      <c r="Z112" s="17"/>
      <c r="AA112" s="17"/>
      <c r="AB112" s="50">
        <f>50723.56</f>
        <v>50723.56</v>
      </c>
      <c r="AC112" s="50"/>
    </row>
    <row r="113" spans="1:29" s="1" customFormat="1" ht="13.5" customHeight="1">
      <c r="A113" s="14" t="s">
        <v>155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122</v>
      </c>
      <c r="M113" s="15"/>
      <c r="N113" s="15"/>
      <c r="O113" s="15" t="s">
        <v>197</v>
      </c>
      <c r="P113" s="15"/>
      <c r="Q113" s="15"/>
      <c r="R113" s="23" t="s">
        <v>156</v>
      </c>
      <c r="S113" s="23"/>
      <c r="T113" s="17">
        <f>290000</f>
        <v>290000</v>
      </c>
      <c r="U113" s="17"/>
      <c r="V113" s="17"/>
      <c r="W113" s="17">
        <f>158100</f>
        <v>158100</v>
      </c>
      <c r="X113" s="17"/>
      <c r="Y113" s="17"/>
      <c r="Z113" s="17"/>
      <c r="AA113" s="17"/>
      <c r="AB113" s="50">
        <f>131900</f>
        <v>131900</v>
      </c>
      <c r="AC113" s="50"/>
    </row>
    <row r="114" spans="1:29" s="1" customFormat="1" ht="13.5" customHeight="1">
      <c r="A114" s="14" t="s">
        <v>141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122</v>
      </c>
      <c r="M114" s="15"/>
      <c r="N114" s="15"/>
      <c r="O114" s="15" t="s">
        <v>197</v>
      </c>
      <c r="P114" s="15"/>
      <c r="Q114" s="15"/>
      <c r="R114" s="23" t="s">
        <v>143</v>
      </c>
      <c r="S114" s="23"/>
      <c r="T114" s="17">
        <f>669120</f>
        <v>669120</v>
      </c>
      <c r="U114" s="17"/>
      <c r="V114" s="17"/>
      <c r="W114" s="17">
        <f>539207.6</f>
        <v>539207.6</v>
      </c>
      <c r="X114" s="17"/>
      <c r="Y114" s="17"/>
      <c r="Z114" s="17"/>
      <c r="AA114" s="17"/>
      <c r="AB114" s="50">
        <f>129912.4</f>
        <v>129912.4</v>
      </c>
      <c r="AC114" s="50"/>
    </row>
    <row r="115" spans="1:29" s="1" customFormat="1" ht="13.5" customHeight="1">
      <c r="A115" s="14" t="s">
        <v>159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122</v>
      </c>
      <c r="M115" s="15"/>
      <c r="N115" s="15"/>
      <c r="O115" s="15" t="s">
        <v>197</v>
      </c>
      <c r="P115" s="15"/>
      <c r="Q115" s="15"/>
      <c r="R115" s="23" t="s">
        <v>160</v>
      </c>
      <c r="S115" s="23"/>
      <c r="T115" s="17">
        <f>100000</f>
        <v>100000</v>
      </c>
      <c r="U115" s="17"/>
      <c r="V115" s="17"/>
      <c r="W115" s="17">
        <f>77500</f>
        <v>77500</v>
      </c>
      <c r="X115" s="17"/>
      <c r="Y115" s="17"/>
      <c r="Z115" s="17"/>
      <c r="AA115" s="17"/>
      <c r="AB115" s="50">
        <f>22500</f>
        <v>22500</v>
      </c>
      <c r="AC115" s="50"/>
    </row>
    <row r="116" spans="1:29" s="1" customFormat="1" ht="13.5" customHeight="1">
      <c r="A116" s="14" t="s">
        <v>167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122</v>
      </c>
      <c r="M116" s="15"/>
      <c r="N116" s="15"/>
      <c r="O116" s="15" t="s">
        <v>197</v>
      </c>
      <c r="P116" s="15"/>
      <c r="Q116" s="15"/>
      <c r="R116" s="23" t="s">
        <v>168</v>
      </c>
      <c r="S116" s="23"/>
      <c r="T116" s="17">
        <f>150000</f>
        <v>150000</v>
      </c>
      <c r="U116" s="17"/>
      <c r="V116" s="17"/>
      <c r="W116" s="17">
        <f>50500</f>
        <v>50500</v>
      </c>
      <c r="X116" s="17"/>
      <c r="Y116" s="17"/>
      <c r="Z116" s="17"/>
      <c r="AA116" s="17"/>
      <c r="AB116" s="50">
        <f>99500</f>
        <v>99500</v>
      </c>
      <c r="AC116" s="50"/>
    </row>
    <row r="117" spans="1:29" s="1" customFormat="1" ht="13.5" customHeight="1">
      <c r="A117" s="14" t="s">
        <v>141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122</v>
      </c>
      <c r="M117" s="15"/>
      <c r="N117" s="15"/>
      <c r="O117" s="15" t="s">
        <v>198</v>
      </c>
      <c r="P117" s="15"/>
      <c r="Q117" s="15"/>
      <c r="R117" s="23" t="s">
        <v>143</v>
      </c>
      <c r="S117" s="23"/>
      <c r="T117" s="17">
        <f>182709</f>
        <v>182709</v>
      </c>
      <c r="U117" s="17"/>
      <c r="V117" s="17"/>
      <c r="W117" s="17">
        <f>182709</f>
        <v>182709</v>
      </c>
      <c r="X117" s="17"/>
      <c r="Y117" s="17"/>
      <c r="Z117" s="17"/>
      <c r="AA117" s="17"/>
      <c r="AB117" s="50">
        <f>0</f>
        <v>0</v>
      </c>
      <c r="AC117" s="50"/>
    </row>
    <row r="118" spans="1:29" s="1" customFormat="1" ht="13.5" customHeight="1">
      <c r="A118" s="14" t="s">
        <v>159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122</v>
      </c>
      <c r="M118" s="15"/>
      <c r="N118" s="15"/>
      <c r="O118" s="15" t="s">
        <v>199</v>
      </c>
      <c r="P118" s="15"/>
      <c r="Q118" s="15"/>
      <c r="R118" s="23" t="s">
        <v>160</v>
      </c>
      <c r="S118" s="23"/>
      <c r="T118" s="17">
        <f>4486203.59</f>
        <v>4486203.59</v>
      </c>
      <c r="U118" s="17"/>
      <c r="V118" s="17"/>
      <c r="W118" s="17">
        <f>4486203.59</f>
        <v>4486203.59</v>
      </c>
      <c r="X118" s="17"/>
      <c r="Y118" s="17"/>
      <c r="Z118" s="17"/>
      <c r="AA118" s="17"/>
      <c r="AB118" s="50">
        <f>0</f>
        <v>0</v>
      </c>
      <c r="AC118" s="50"/>
    </row>
    <row r="119" spans="1:29" s="1" customFormat="1" ht="13.5" customHeight="1">
      <c r="A119" s="14" t="s">
        <v>153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122</v>
      </c>
      <c r="M119" s="15"/>
      <c r="N119" s="15"/>
      <c r="O119" s="15" t="s">
        <v>200</v>
      </c>
      <c r="P119" s="15"/>
      <c r="Q119" s="15"/>
      <c r="R119" s="23" t="s">
        <v>154</v>
      </c>
      <c r="S119" s="23"/>
      <c r="T119" s="17">
        <f>250000</f>
        <v>250000</v>
      </c>
      <c r="U119" s="17"/>
      <c r="V119" s="17"/>
      <c r="W119" s="17">
        <f>147061.24</f>
        <v>147061.24</v>
      </c>
      <c r="X119" s="17"/>
      <c r="Y119" s="17"/>
      <c r="Z119" s="17"/>
      <c r="AA119" s="17"/>
      <c r="AB119" s="50">
        <f>102938.76</f>
        <v>102938.76</v>
      </c>
      <c r="AC119" s="50"/>
    </row>
    <row r="120" spans="1:29" s="1" customFormat="1" ht="13.5" customHeight="1">
      <c r="A120" s="14" t="s">
        <v>155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122</v>
      </c>
      <c r="M120" s="15"/>
      <c r="N120" s="15"/>
      <c r="O120" s="15" t="s">
        <v>200</v>
      </c>
      <c r="P120" s="15"/>
      <c r="Q120" s="15"/>
      <c r="R120" s="23" t="s">
        <v>156</v>
      </c>
      <c r="S120" s="23"/>
      <c r="T120" s="17">
        <f>389000</f>
        <v>389000</v>
      </c>
      <c r="U120" s="17"/>
      <c r="V120" s="17"/>
      <c r="W120" s="17">
        <f>252510.74</f>
        <v>252510.74</v>
      </c>
      <c r="X120" s="17"/>
      <c r="Y120" s="17"/>
      <c r="Z120" s="17"/>
      <c r="AA120" s="17"/>
      <c r="AB120" s="50">
        <f>136489.26</f>
        <v>136489.26</v>
      </c>
      <c r="AC120" s="50"/>
    </row>
    <row r="121" spans="1:29" s="1" customFormat="1" ht="13.5" customHeight="1">
      <c r="A121" s="14" t="s">
        <v>141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122</v>
      </c>
      <c r="M121" s="15"/>
      <c r="N121" s="15"/>
      <c r="O121" s="15" t="s">
        <v>200</v>
      </c>
      <c r="P121" s="15"/>
      <c r="Q121" s="15"/>
      <c r="R121" s="23" t="s">
        <v>143</v>
      </c>
      <c r="S121" s="23"/>
      <c r="T121" s="17">
        <f>78000</f>
        <v>78000</v>
      </c>
      <c r="U121" s="17"/>
      <c r="V121" s="17"/>
      <c r="W121" s="17">
        <f>78000</f>
        <v>78000</v>
      </c>
      <c r="X121" s="17"/>
      <c r="Y121" s="17"/>
      <c r="Z121" s="17"/>
      <c r="AA121" s="17"/>
      <c r="AB121" s="50">
        <f>0</f>
        <v>0</v>
      </c>
      <c r="AC121" s="50"/>
    </row>
    <row r="122" spans="1:29" s="1" customFormat="1" ht="13.5" customHeight="1">
      <c r="A122" s="14" t="s">
        <v>141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122</v>
      </c>
      <c r="M122" s="15"/>
      <c r="N122" s="15"/>
      <c r="O122" s="15" t="s">
        <v>201</v>
      </c>
      <c r="P122" s="15"/>
      <c r="Q122" s="15"/>
      <c r="R122" s="23" t="s">
        <v>143</v>
      </c>
      <c r="S122" s="23"/>
      <c r="T122" s="17">
        <f>711384.08</f>
        <v>711384.08</v>
      </c>
      <c r="U122" s="17"/>
      <c r="V122" s="17"/>
      <c r="W122" s="17">
        <f>711384.08</f>
        <v>711384.08</v>
      </c>
      <c r="X122" s="17"/>
      <c r="Y122" s="17"/>
      <c r="Z122" s="17"/>
      <c r="AA122" s="17"/>
      <c r="AB122" s="50">
        <f>0</f>
        <v>0</v>
      </c>
      <c r="AC122" s="50"/>
    </row>
    <row r="123" spans="1:29" s="1" customFormat="1" ht="13.5" customHeight="1">
      <c r="A123" s="14" t="s">
        <v>141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122</v>
      </c>
      <c r="M123" s="15"/>
      <c r="N123" s="15"/>
      <c r="O123" s="15" t="s">
        <v>202</v>
      </c>
      <c r="P123" s="15"/>
      <c r="Q123" s="15"/>
      <c r="R123" s="23" t="s">
        <v>143</v>
      </c>
      <c r="S123" s="23"/>
      <c r="T123" s="17">
        <f>1599451.2</f>
        <v>1599451.2</v>
      </c>
      <c r="U123" s="17"/>
      <c r="V123" s="17"/>
      <c r="W123" s="17">
        <f>1599451.2</f>
        <v>1599451.2</v>
      </c>
      <c r="X123" s="17"/>
      <c r="Y123" s="17"/>
      <c r="Z123" s="17"/>
      <c r="AA123" s="17"/>
      <c r="AB123" s="50">
        <f>0</f>
        <v>0</v>
      </c>
      <c r="AC123" s="50"/>
    </row>
    <row r="124" spans="1:29" s="1" customFormat="1" ht="13.5" customHeight="1">
      <c r="A124" s="14" t="s">
        <v>141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122</v>
      </c>
      <c r="M124" s="15"/>
      <c r="N124" s="15"/>
      <c r="O124" s="15" t="s">
        <v>203</v>
      </c>
      <c r="P124" s="15"/>
      <c r="Q124" s="15"/>
      <c r="R124" s="23" t="s">
        <v>143</v>
      </c>
      <c r="S124" s="23"/>
      <c r="T124" s="17">
        <f>87923.92</f>
        <v>87923.92</v>
      </c>
      <c r="U124" s="17"/>
      <c r="V124" s="17"/>
      <c r="W124" s="17">
        <f>87923.92</f>
        <v>87923.92</v>
      </c>
      <c r="X124" s="17"/>
      <c r="Y124" s="17"/>
      <c r="Z124" s="17"/>
      <c r="AA124" s="17"/>
      <c r="AB124" s="50">
        <f>0</f>
        <v>0</v>
      </c>
      <c r="AC124" s="50"/>
    </row>
    <row r="125" spans="1:29" s="1" customFormat="1" ht="13.5" customHeight="1">
      <c r="A125" s="14" t="s">
        <v>141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122</v>
      </c>
      <c r="M125" s="15"/>
      <c r="N125" s="15"/>
      <c r="O125" s="15" t="s">
        <v>204</v>
      </c>
      <c r="P125" s="15"/>
      <c r="Q125" s="15"/>
      <c r="R125" s="23" t="s">
        <v>143</v>
      </c>
      <c r="S125" s="23"/>
      <c r="T125" s="17">
        <f>1154600</f>
        <v>1154600</v>
      </c>
      <c r="U125" s="17"/>
      <c r="V125" s="17"/>
      <c r="W125" s="17">
        <f>843558.11</f>
        <v>843558.11</v>
      </c>
      <c r="X125" s="17"/>
      <c r="Y125" s="17"/>
      <c r="Z125" s="17"/>
      <c r="AA125" s="17"/>
      <c r="AB125" s="50">
        <f>311041.89</f>
        <v>311041.89</v>
      </c>
      <c r="AC125" s="50"/>
    </row>
    <row r="126" spans="1:29" s="1" customFormat="1" ht="13.5" customHeight="1">
      <c r="A126" s="14" t="s">
        <v>159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122</v>
      </c>
      <c r="M126" s="15"/>
      <c r="N126" s="15"/>
      <c r="O126" s="15" t="s">
        <v>204</v>
      </c>
      <c r="P126" s="15"/>
      <c r="Q126" s="15"/>
      <c r="R126" s="23" t="s">
        <v>160</v>
      </c>
      <c r="S126" s="23"/>
      <c r="T126" s="17">
        <f>345400</f>
        <v>345400</v>
      </c>
      <c r="U126" s="17"/>
      <c r="V126" s="17"/>
      <c r="W126" s="17">
        <f>121932.57</f>
        <v>121932.57</v>
      </c>
      <c r="X126" s="17"/>
      <c r="Y126" s="17"/>
      <c r="Z126" s="17"/>
      <c r="AA126" s="17"/>
      <c r="AB126" s="50">
        <f>223467.43</f>
        <v>223467.43</v>
      </c>
      <c r="AC126" s="50"/>
    </row>
    <row r="127" spans="1:29" s="1" customFormat="1" ht="13.5" customHeight="1">
      <c r="A127" s="14" t="s">
        <v>141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122</v>
      </c>
      <c r="M127" s="15"/>
      <c r="N127" s="15"/>
      <c r="O127" s="15" t="s">
        <v>205</v>
      </c>
      <c r="P127" s="15"/>
      <c r="Q127" s="15"/>
      <c r="R127" s="23" t="s">
        <v>143</v>
      </c>
      <c r="S127" s="23"/>
      <c r="T127" s="17">
        <f>999188</f>
        <v>999188</v>
      </c>
      <c r="U127" s="17"/>
      <c r="V127" s="17"/>
      <c r="W127" s="17">
        <f>999188</f>
        <v>999188</v>
      </c>
      <c r="X127" s="17"/>
      <c r="Y127" s="17"/>
      <c r="Z127" s="17"/>
      <c r="AA127" s="17"/>
      <c r="AB127" s="50">
        <f>0</f>
        <v>0</v>
      </c>
      <c r="AC127" s="50"/>
    </row>
    <row r="128" spans="1:29" s="1" customFormat="1" ht="13.5" customHeight="1">
      <c r="A128" s="14" t="s">
        <v>159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122</v>
      </c>
      <c r="M128" s="15"/>
      <c r="N128" s="15"/>
      <c r="O128" s="15" t="s">
        <v>206</v>
      </c>
      <c r="P128" s="15"/>
      <c r="Q128" s="15"/>
      <c r="R128" s="23" t="s">
        <v>160</v>
      </c>
      <c r="S128" s="23"/>
      <c r="T128" s="17">
        <f>222982.27</f>
        <v>222982.27</v>
      </c>
      <c r="U128" s="17"/>
      <c r="V128" s="17"/>
      <c r="W128" s="17">
        <f>222982.27</f>
        <v>222982.27</v>
      </c>
      <c r="X128" s="17"/>
      <c r="Y128" s="17"/>
      <c r="Z128" s="17"/>
      <c r="AA128" s="17"/>
      <c r="AB128" s="50">
        <f>0</f>
        <v>0</v>
      </c>
      <c r="AC128" s="50"/>
    </row>
    <row r="129" spans="1:29" s="1" customFormat="1" ht="13.5" customHeight="1">
      <c r="A129" s="14" t="s">
        <v>153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122</v>
      </c>
      <c r="M129" s="15"/>
      <c r="N129" s="15"/>
      <c r="O129" s="15" t="s">
        <v>207</v>
      </c>
      <c r="P129" s="15"/>
      <c r="Q129" s="15"/>
      <c r="R129" s="23" t="s">
        <v>154</v>
      </c>
      <c r="S129" s="23"/>
      <c r="T129" s="17">
        <f>205000</f>
        <v>205000</v>
      </c>
      <c r="U129" s="17"/>
      <c r="V129" s="17"/>
      <c r="W129" s="17">
        <f>147110.56</f>
        <v>147110.56</v>
      </c>
      <c r="X129" s="17"/>
      <c r="Y129" s="17"/>
      <c r="Z129" s="17"/>
      <c r="AA129" s="17"/>
      <c r="AB129" s="50">
        <f>57889.44</f>
        <v>57889.44</v>
      </c>
      <c r="AC129" s="50"/>
    </row>
    <row r="130" spans="1:29" s="1" customFormat="1" ht="13.5" customHeight="1">
      <c r="A130" s="14" t="s">
        <v>155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122</v>
      </c>
      <c r="M130" s="15"/>
      <c r="N130" s="15"/>
      <c r="O130" s="15" t="s">
        <v>207</v>
      </c>
      <c r="P130" s="15"/>
      <c r="Q130" s="15"/>
      <c r="R130" s="23" t="s">
        <v>156</v>
      </c>
      <c r="S130" s="23"/>
      <c r="T130" s="17">
        <f>567000</f>
        <v>567000</v>
      </c>
      <c r="U130" s="17"/>
      <c r="V130" s="17"/>
      <c r="W130" s="17">
        <f>457178.33</f>
        <v>457178.33</v>
      </c>
      <c r="X130" s="17"/>
      <c r="Y130" s="17"/>
      <c r="Z130" s="17"/>
      <c r="AA130" s="17"/>
      <c r="AB130" s="50">
        <f>109821.67</f>
        <v>109821.67</v>
      </c>
      <c r="AC130" s="50"/>
    </row>
    <row r="131" spans="1:29" s="1" customFormat="1" ht="13.5" customHeight="1">
      <c r="A131" s="14" t="s">
        <v>141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122</v>
      </c>
      <c r="M131" s="15"/>
      <c r="N131" s="15"/>
      <c r="O131" s="15" t="s">
        <v>207</v>
      </c>
      <c r="P131" s="15"/>
      <c r="Q131" s="15"/>
      <c r="R131" s="23" t="s">
        <v>143</v>
      </c>
      <c r="S131" s="23"/>
      <c r="T131" s="17">
        <f>3166777.39</f>
        <v>3166777.39</v>
      </c>
      <c r="U131" s="17"/>
      <c r="V131" s="17"/>
      <c r="W131" s="17">
        <f>1595450.48</f>
        <v>1595450.48</v>
      </c>
      <c r="X131" s="17"/>
      <c r="Y131" s="17"/>
      <c r="Z131" s="17"/>
      <c r="AA131" s="17"/>
      <c r="AB131" s="50">
        <f>1571326.91</f>
        <v>1571326.91</v>
      </c>
      <c r="AC131" s="50"/>
    </row>
    <row r="132" spans="1:29" s="1" customFormat="1" ht="13.5" customHeight="1">
      <c r="A132" s="14" t="s">
        <v>159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122</v>
      </c>
      <c r="M132" s="15"/>
      <c r="N132" s="15"/>
      <c r="O132" s="15" t="s">
        <v>207</v>
      </c>
      <c r="P132" s="15"/>
      <c r="Q132" s="15"/>
      <c r="R132" s="23" t="s">
        <v>160</v>
      </c>
      <c r="S132" s="23"/>
      <c r="T132" s="17">
        <f>583336</f>
        <v>583336</v>
      </c>
      <c r="U132" s="17"/>
      <c r="V132" s="17"/>
      <c r="W132" s="17">
        <f>523336</f>
        <v>523336</v>
      </c>
      <c r="X132" s="17"/>
      <c r="Y132" s="17"/>
      <c r="Z132" s="17"/>
      <c r="AA132" s="17"/>
      <c r="AB132" s="50">
        <f>60000</f>
        <v>60000</v>
      </c>
      <c r="AC132" s="50"/>
    </row>
    <row r="133" spans="1:29" s="1" customFormat="1" ht="13.5" customHeight="1">
      <c r="A133" s="14" t="s">
        <v>167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 t="s">
        <v>122</v>
      </c>
      <c r="M133" s="15"/>
      <c r="N133" s="15"/>
      <c r="O133" s="15" t="s">
        <v>207</v>
      </c>
      <c r="P133" s="15"/>
      <c r="Q133" s="15"/>
      <c r="R133" s="23" t="s">
        <v>168</v>
      </c>
      <c r="S133" s="23"/>
      <c r="T133" s="17">
        <f>254470</f>
        <v>254470</v>
      </c>
      <c r="U133" s="17"/>
      <c r="V133" s="17"/>
      <c r="W133" s="17">
        <f>254470</f>
        <v>254470</v>
      </c>
      <c r="X133" s="17"/>
      <c r="Y133" s="17"/>
      <c r="Z133" s="17"/>
      <c r="AA133" s="17"/>
      <c r="AB133" s="50">
        <f>0</f>
        <v>0</v>
      </c>
      <c r="AC133" s="50"/>
    </row>
    <row r="134" spans="1:29" s="1" customFormat="1" ht="13.5" customHeight="1">
      <c r="A134" s="14" t="s">
        <v>123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 t="s">
        <v>122</v>
      </c>
      <c r="M134" s="15"/>
      <c r="N134" s="15"/>
      <c r="O134" s="15" t="s">
        <v>208</v>
      </c>
      <c r="P134" s="15"/>
      <c r="Q134" s="15"/>
      <c r="R134" s="23" t="s">
        <v>125</v>
      </c>
      <c r="S134" s="23"/>
      <c r="T134" s="17">
        <f>641.22</f>
        <v>641.22</v>
      </c>
      <c r="U134" s="17"/>
      <c r="V134" s="17"/>
      <c r="W134" s="17">
        <f>641.22</f>
        <v>641.22</v>
      </c>
      <c r="X134" s="17"/>
      <c r="Y134" s="17"/>
      <c r="Z134" s="17"/>
      <c r="AA134" s="17"/>
      <c r="AB134" s="50">
        <f>0</f>
        <v>0</v>
      </c>
      <c r="AC134" s="50"/>
    </row>
    <row r="135" spans="1:29" s="1" customFormat="1" ht="13.5" customHeight="1">
      <c r="A135" s="14" t="s">
        <v>131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 t="s">
        <v>122</v>
      </c>
      <c r="M135" s="15"/>
      <c r="N135" s="15"/>
      <c r="O135" s="15" t="s">
        <v>209</v>
      </c>
      <c r="P135" s="15"/>
      <c r="Q135" s="15"/>
      <c r="R135" s="23" t="s">
        <v>133</v>
      </c>
      <c r="S135" s="23"/>
      <c r="T135" s="17">
        <f>195.72</f>
        <v>195.72</v>
      </c>
      <c r="U135" s="17"/>
      <c r="V135" s="17"/>
      <c r="W135" s="17">
        <f>193.64</f>
        <v>193.64</v>
      </c>
      <c r="X135" s="17"/>
      <c r="Y135" s="17"/>
      <c r="Z135" s="17"/>
      <c r="AA135" s="17"/>
      <c r="AB135" s="50">
        <f>2.08</f>
        <v>2.08</v>
      </c>
      <c r="AC135" s="50"/>
    </row>
    <row r="136" spans="1:29" s="1" customFormat="1" ht="13.5" customHeight="1">
      <c r="A136" s="14" t="s">
        <v>141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 t="s">
        <v>122</v>
      </c>
      <c r="M136" s="15"/>
      <c r="N136" s="15"/>
      <c r="O136" s="15" t="s">
        <v>210</v>
      </c>
      <c r="P136" s="15"/>
      <c r="Q136" s="15"/>
      <c r="R136" s="23" t="s">
        <v>143</v>
      </c>
      <c r="S136" s="23"/>
      <c r="T136" s="17">
        <f>299900</f>
        <v>299900</v>
      </c>
      <c r="U136" s="17"/>
      <c r="V136" s="17"/>
      <c r="W136" s="17">
        <f>149950</f>
        <v>149950</v>
      </c>
      <c r="X136" s="17"/>
      <c r="Y136" s="17"/>
      <c r="Z136" s="17"/>
      <c r="AA136" s="17"/>
      <c r="AB136" s="50">
        <f>149950</f>
        <v>149950</v>
      </c>
      <c r="AC136" s="50"/>
    </row>
    <row r="137" spans="1:29" s="1" customFormat="1" ht="13.5" customHeight="1">
      <c r="A137" s="14" t="s">
        <v>141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 t="s">
        <v>122</v>
      </c>
      <c r="M137" s="15"/>
      <c r="N137" s="15"/>
      <c r="O137" s="15" t="s">
        <v>211</v>
      </c>
      <c r="P137" s="15"/>
      <c r="Q137" s="15"/>
      <c r="R137" s="23" t="s">
        <v>143</v>
      </c>
      <c r="S137" s="23"/>
      <c r="T137" s="17">
        <f>10000</f>
        <v>10000</v>
      </c>
      <c r="U137" s="17"/>
      <c r="V137" s="17"/>
      <c r="W137" s="21" t="s">
        <v>40</v>
      </c>
      <c r="X137" s="21"/>
      <c r="Y137" s="21"/>
      <c r="Z137" s="21"/>
      <c r="AA137" s="21"/>
      <c r="AB137" s="50">
        <f>10000</f>
        <v>10000</v>
      </c>
      <c r="AC137" s="50"/>
    </row>
    <row r="138" spans="1:29" s="1" customFormat="1" ht="13.5" customHeight="1">
      <c r="A138" s="14" t="s">
        <v>141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 t="s">
        <v>122</v>
      </c>
      <c r="M138" s="15"/>
      <c r="N138" s="15"/>
      <c r="O138" s="15" t="s">
        <v>212</v>
      </c>
      <c r="P138" s="15"/>
      <c r="Q138" s="15"/>
      <c r="R138" s="23" t="s">
        <v>143</v>
      </c>
      <c r="S138" s="23"/>
      <c r="T138" s="17">
        <f>30000</f>
        <v>30000</v>
      </c>
      <c r="U138" s="17"/>
      <c r="V138" s="17"/>
      <c r="W138" s="17">
        <f>15000</f>
        <v>15000</v>
      </c>
      <c r="X138" s="17"/>
      <c r="Y138" s="17"/>
      <c r="Z138" s="17"/>
      <c r="AA138" s="17"/>
      <c r="AB138" s="50">
        <f>15000</f>
        <v>15000</v>
      </c>
      <c r="AC138" s="50"/>
    </row>
    <row r="139" spans="1:29" s="1" customFormat="1" ht="13.5" customHeight="1">
      <c r="A139" s="14" t="s">
        <v>159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 t="s">
        <v>122</v>
      </c>
      <c r="M139" s="15"/>
      <c r="N139" s="15"/>
      <c r="O139" s="15" t="s">
        <v>213</v>
      </c>
      <c r="P139" s="15"/>
      <c r="Q139" s="15"/>
      <c r="R139" s="23" t="s">
        <v>160</v>
      </c>
      <c r="S139" s="23"/>
      <c r="T139" s="17">
        <f>17044</f>
        <v>17044</v>
      </c>
      <c r="U139" s="17"/>
      <c r="V139" s="17"/>
      <c r="W139" s="21" t="s">
        <v>40</v>
      </c>
      <c r="X139" s="21"/>
      <c r="Y139" s="21"/>
      <c r="Z139" s="21"/>
      <c r="AA139" s="21"/>
      <c r="AB139" s="50">
        <f>17044</f>
        <v>17044</v>
      </c>
      <c r="AC139" s="50"/>
    </row>
    <row r="140" spans="1:29" s="1" customFormat="1" ht="24" customHeight="1">
      <c r="A140" s="14" t="s">
        <v>169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 t="s">
        <v>122</v>
      </c>
      <c r="M140" s="15"/>
      <c r="N140" s="15"/>
      <c r="O140" s="15" t="s">
        <v>213</v>
      </c>
      <c r="P140" s="15"/>
      <c r="Q140" s="15"/>
      <c r="R140" s="23" t="s">
        <v>170</v>
      </c>
      <c r="S140" s="23"/>
      <c r="T140" s="17">
        <f>72956</f>
        <v>72956</v>
      </c>
      <c r="U140" s="17"/>
      <c r="V140" s="17"/>
      <c r="W140" s="17">
        <f>30000</f>
        <v>30000</v>
      </c>
      <c r="X140" s="17"/>
      <c r="Y140" s="17"/>
      <c r="Z140" s="17"/>
      <c r="AA140" s="17"/>
      <c r="AB140" s="50">
        <f>42956</f>
        <v>42956</v>
      </c>
      <c r="AC140" s="50"/>
    </row>
    <row r="141" spans="1:29" s="1" customFormat="1" ht="13.5" customHeight="1">
      <c r="A141" s="14" t="s">
        <v>214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 t="s">
        <v>122</v>
      </c>
      <c r="M141" s="15"/>
      <c r="N141" s="15"/>
      <c r="O141" s="15" t="s">
        <v>215</v>
      </c>
      <c r="P141" s="15"/>
      <c r="Q141" s="15"/>
      <c r="R141" s="23" t="s">
        <v>216</v>
      </c>
      <c r="S141" s="23"/>
      <c r="T141" s="17">
        <f>24993293.4</f>
        <v>24993293.4</v>
      </c>
      <c r="U141" s="17"/>
      <c r="V141" s="17"/>
      <c r="W141" s="17">
        <f>23635030.67</f>
        <v>23635030.67</v>
      </c>
      <c r="X141" s="17"/>
      <c r="Y141" s="17"/>
      <c r="Z141" s="17"/>
      <c r="AA141" s="17"/>
      <c r="AB141" s="50">
        <f>1358262.73</f>
        <v>1358262.73</v>
      </c>
      <c r="AC141" s="50"/>
    </row>
    <row r="142" spans="1:29" s="1" customFormat="1" ht="13.5" customHeight="1">
      <c r="A142" s="14" t="s">
        <v>214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5" t="s">
        <v>122</v>
      </c>
      <c r="M142" s="15"/>
      <c r="N142" s="15"/>
      <c r="O142" s="15" t="s">
        <v>217</v>
      </c>
      <c r="P142" s="15"/>
      <c r="Q142" s="15"/>
      <c r="R142" s="23" t="s">
        <v>216</v>
      </c>
      <c r="S142" s="23"/>
      <c r="T142" s="17">
        <f>11570</f>
        <v>11570</v>
      </c>
      <c r="U142" s="17"/>
      <c r="V142" s="17"/>
      <c r="W142" s="17">
        <f>11570</f>
        <v>11570</v>
      </c>
      <c r="X142" s="17"/>
      <c r="Y142" s="17"/>
      <c r="Z142" s="17"/>
      <c r="AA142" s="17"/>
      <c r="AB142" s="50">
        <f>0</f>
        <v>0</v>
      </c>
      <c r="AC142" s="50"/>
    </row>
    <row r="143" spans="1:29" s="1" customFormat="1" ht="15" customHeight="1">
      <c r="A143" s="52" t="s">
        <v>218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47" t="s">
        <v>219</v>
      </c>
      <c r="M143" s="47"/>
      <c r="N143" s="47"/>
      <c r="O143" s="47" t="s">
        <v>37</v>
      </c>
      <c r="P143" s="47"/>
      <c r="Q143" s="47"/>
      <c r="R143" s="48" t="s">
        <v>37</v>
      </c>
      <c r="S143" s="48"/>
      <c r="T143" s="49">
        <f>-2353286.59</f>
        <v>-2353286.59</v>
      </c>
      <c r="U143" s="49"/>
      <c r="V143" s="49"/>
      <c r="W143" s="49">
        <f>5233151.61</f>
        <v>5233151.61</v>
      </c>
      <c r="X143" s="49"/>
      <c r="Y143" s="49"/>
      <c r="Z143" s="49"/>
      <c r="AA143" s="49"/>
      <c r="AB143" s="51" t="s">
        <v>37</v>
      </c>
      <c r="AC143" s="51"/>
    </row>
    <row r="144" spans="1:29" s="1" customFormat="1" ht="13.5" customHeight="1">
      <c r="A144" s="8" t="s">
        <v>11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13.5" customHeight="1">
      <c r="A145" s="42" t="s">
        <v>220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</row>
    <row r="146" spans="1:29" s="1" customFormat="1" ht="45.75" customHeight="1">
      <c r="A146" s="43" t="s">
        <v>23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 t="s">
        <v>24</v>
      </c>
      <c r="N146" s="43"/>
      <c r="O146" s="43"/>
      <c r="P146" s="43" t="s">
        <v>221</v>
      </c>
      <c r="Q146" s="43"/>
      <c r="R146" s="43"/>
      <c r="S146" s="45" t="s">
        <v>26</v>
      </c>
      <c r="T146" s="45"/>
      <c r="U146" s="45"/>
      <c r="V146" s="45" t="s">
        <v>27</v>
      </c>
      <c r="W146" s="45"/>
      <c r="X146" s="45"/>
      <c r="Y146" s="45"/>
      <c r="Z146" s="45"/>
      <c r="AA146" s="46" t="s">
        <v>28</v>
      </c>
      <c r="AB146" s="46"/>
      <c r="AC146" s="46"/>
    </row>
    <row r="147" spans="1:29" s="1" customFormat="1" ht="12.75" customHeight="1">
      <c r="A147" s="40" t="s">
        <v>29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 t="s">
        <v>30</v>
      </c>
      <c r="N147" s="40"/>
      <c r="O147" s="40"/>
      <c r="P147" s="40" t="s">
        <v>31</v>
      </c>
      <c r="Q147" s="40"/>
      <c r="R147" s="40"/>
      <c r="S147" s="41" t="s">
        <v>32</v>
      </c>
      <c r="T147" s="41"/>
      <c r="U147" s="41"/>
      <c r="V147" s="41" t="s">
        <v>33</v>
      </c>
      <c r="W147" s="41"/>
      <c r="X147" s="41"/>
      <c r="Y147" s="41"/>
      <c r="Z147" s="41"/>
      <c r="AA147" s="44" t="s">
        <v>34</v>
      </c>
      <c r="AB147" s="44"/>
      <c r="AC147" s="44"/>
    </row>
    <row r="148" spans="1:29" s="1" customFormat="1" ht="13.5" customHeight="1">
      <c r="A148" s="35" t="s">
        <v>222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 t="s">
        <v>223</v>
      </c>
      <c r="N148" s="36"/>
      <c r="O148" s="36"/>
      <c r="P148" s="36" t="s">
        <v>37</v>
      </c>
      <c r="Q148" s="36"/>
      <c r="R148" s="36"/>
      <c r="S148" s="37">
        <v>2353286.59</v>
      </c>
      <c r="T148" s="37"/>
      <c r="U148" s="37"/>
      <c r="V148" s="38">
        <f>-5233151.61</f>
        <v>-5233151.61</v>
      </c>
      <c r="W148" s="38"/>
      <c r="X148" s="38"/>
      <c r="Y148" s="38"/>
      <c r="Z148" s="38"/>
      <c r="AA148" s="39" t="s">
        <v>37</v>
      </c>
      <c r="AB148" s="39"/>
      <c r="AC148" s="39"/>
    </row>
    <row r="149" spans="1:29" s="1" customFormat="1" ht="13.5" customHeight="1">
      <c r="A149" s="33" t="s">
        <v>224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24" t="s">
        <v>11</v>
      </c>
      <c r="N149" s="24"/>
      <c r="O149" s="24"/>
      <c r="P149" s="24" t="s">
        <v>11</v>
      </c>
      <c r="Q149" s="24"/>
      <c r="R149" s="24"/>
      <c r="S149" s="25" t="s">
        <v>11</v>
      </c>
      <c r="T149" s="25"/>
      <c r="U149" s="25"/>
      <c r="V149" s="34" t="s">
        <v>11</v>
      </c>
      <c r="W149" s="34"/>
      <c r="X149" s="34"/>
      <c r="Y149" s="34"/>
      <c r="Z149" s="34"/>
      <c r="AA149" s="26" t="s">
        <v>11</v>
      </c>
      <c r="AB149" s="26"/>
      <c r="AC149" s="26"/>
    </row>
    <row r="150" spans="1:29" s="1" customFormat="1" ht="13.5" customHeight="1">
      <c r="A150" s="27" t="s">
        <v>225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8" t="s">
        <v>226</v>
      </c>
      <c r="N150" s="28"/>
      <c r="O150" s="28"/>
      <c r="P150" s="29" t="s">
        <v>37</v>
      </c>
      <c r="Q150" s="29"/>
      <c r="R150" s="29"/>
      <c r="S150" s="30" t="s">
        <v>40</v>
      </c>
      <c r="T150" s="30"/>
      <c r="U150" s="30"/>
      <c r="V150" s="31" t="s">
        <v>40</v>
      </c>
      <c r="W150" s="31"/>
      <c r="X150" s="31"/>
      <c r="Y150" s="31"/>
      <c r="Z150" s="31"/>
      <c r="AA150" s="32" t="s">
        <v>40</v>
      </c>
      <c r="AB150" s="32"/>
      <c r="AC150" s="32"/>
    </row>
    <row r="151" spans="1:29" s="1" customFormat="1" ht="13.5" customHeight="1">
      <c r="A151" s="23" t="s">
        <v>11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1" customFormat="1" ht="13.5" customHeight="1">
      <c r="A152" s="14" t="s">
        <v>227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24" t="s">
        <v>228</v>
      </c>
      <c r="N152" s="24"/>
      <c r="O152" s="24"/>
      <c r="P152" s="24" t="s">
        <v>37</v>
      </c>
      <c r="Q152" s="24"/>
      <c r="R152" s="24"/>
      <c r="S152" s="25" t="s">
        <v>40</v>
      </c>
      <c r="T152" s="25"/>
      <c r="U152" s="25"/>
      <c r="V152" s="21" t="s">
        <v>40</v>
      </c>
      <c r="W152" s="21"/>
      <c r="X152" s="21"/>
      <c r="Y152" s="21"/>
      <c r="Z152" s="21"/>
      <c r="AA152" s="26" t="s">
        <v>40</v>
      </c>
      <c r="AB152" s="26"/>
      <c r="AC152" s="26"/>
    </row>
    <row r="153" spans="1:29" s="1" customFormat="1" ht="13.5" customHeight="1">
      <c r="A153" s="14" t="s">
        <v>11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5" t="s">
        <v>228</v>
      </c>
      <c r="N153" s="15"/>
      <c r="O153" s="15"/>
      <c r="P153" s="15" t="s">
        <v>11</v>
      </c>
      <c r="Q153" s="15"/>
      <c r="R153" s="15"/>
      <c r="S153" s="20" t="s">
        <v>40</v>
      </c>
      <c r="T153" s="20"/>
      <c r="U153" s="20"/>
      <c r="V153" s="21" t="s">
        <v>40</v>
      </c>
      <c r="W153" s="21"/>
      <c r="X153" s="21"/>
      <c r="Y153" s="21"/>
      <c r="Z153" s="21"/>
      <c r="AA153" s="22" t="s">
        <v>40</v>
      </c>
      <c r="AB153" s="22"/>
      <c r="AC153" s="22"/>
    </row>
    <row r="154" spans="1:29" s="1" customFormat="1" ht="13.5" customHeight="1">
      <c r="A154" s="14" t="s">
        <v>229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5" t="s">
        <v>230</v>
      </c>
      <c r="N154" s="15"/>
      <c r="O154" s="15"/>
      <c r="P154" s="15" t="s">
        <v>231</v>
      </c>
      <c r="Q154" s="15"/>
      <c r="R154" s="15"/>
      <c r="S154" s="16">
        <v>2353286.59</v>
      </c>
      <c r="T154" s="16"/>
      <c r="U154" s="16"/>
      <c r="V154" s="17">
        <f>-5233151.61</f>
        <v>-5233151.61</v>
      </c>
      <c r="W154" s="17"/>
      <c r="X154" s="17"/>
      <c r="Y154" s="17"/>
      <c r="Z154" s="17"/>
      <c r="AA154" s="19">
        <f>7484001.4</f>
        <v>7484001.4</v>
      </c>
      <c r="AB154" s="19"/>
      <c r="AC154" s="19"/>
    </row>
    <row r="155" spans="1:29" s="1" customFormat="1" ht="13.5" customHeight="1">
      <c r="A155" s="14" t="s">
        <v>232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5" t="s">
        <v>233</v>
      </c>
      <c r="N155" s="15"/>
      <c r="O155" s="15"/>
      <c r="P155" s="15" t="s">
        <v>234</v>
      </c>
      <c r="Q155" s="15"/>
      <c r="R155" s="15"/>
      <c r="S155" s="16">
        <f>-66111799.76</f>
        <v>-66111799.76</v>
      </c>
      <c r="T155" s="16"/>
      <c r="U155" s="16"/>
      <c r="V155" s="17">
        <f>-64401844.91</f>
        <v>-64401844.91</v>
      </c>
      <c r="W155" s="17"/>
      <c r="X155" s="17"/>
      <c r="Y155" s="17"/>
      <c r="Z155" s="17"/>
      <c r="AA155" s="18" t="s">
        <v>37</v>
      </c>
      <c r="AB155" s="18"/>
      <c r="AC155" s="18"/>
    </row>
    <row r="156" spans="1:29" s="1" customFormat="1" ht="13.5" customHeight="1">
      <c r="A156" s="14" t="s">
        <v>235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5" t="s">
        <v>236</v>
      </c>
      <c r="N156" s="15"/>
      <c r="O156" s="15"/>
      <c r="P156" s="15" t="s">
        <v>237</v>
      </c>
      <c r="Q156" s="15"/>
      <c r="R156" s="15"/>
      <c r="S156" s="16">
        <f>68465086.35</f>
        <v>68465086.35</v>
      </c>
      <c r="T156" s="16"/>
      <c r="U156" s="16"/>
      <c r="V156" s="17">
        <f>59168693.3</f>
        <v>59168693.3</v>
      </c>
      <c r="W156" s="17"/>
      <c r="X156" s="17"/>
      <c r="Y156" s="17"/>
      <c r="Z156" s="17"/>
      <c r="AA156" s="18" t="s">
        <v>37</v>
      </c>
      <c r="AB156" s="18"/>
      <c r="AC156" s="18"/>
    </row>
    <row r="157" spans="1:29" s="1" customFormat="1" ht="13.5" customHeight="1">
      <c r="A157" s="13" t="s">
        <v>11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s="1" customFormat="1" ht="13.5" customHeight="1">
      <c r="A158" s="8" t="s">
        <v>238</v>
      </c>
      <c r="B158" s="8"/>
      <c r="C158" s="8"/>
      <c r="D158" s="8"/>
      <c r="E158" s="8"/>
      <c r="F158" s="8"/>
      <c r="G158" s="8"/>
      <c r="H158" s="8"/>
      <c r="I158" s="12" t="s">
        <v>11</v>
      </c>
      <c r="J158" s="12"/>
      <c r="K158" s="12"/>
      <c r="L158" s="12"/>
      <c r="M158" s="12"/>
      <c r="N158" s="12"/>
      <c r="O158" s="12"/>
      <c r="P158" s="12" t="s">
        <v>239</v>
      </c>
      <c r="Q158" s="12"/>
      <c r="R158" s="12"/>
      <c r="S158" s="12"/>
      <c r="T158" s="12"/>
      <c r="U158" s="8" t="s">
        <v>11</v>
      </c>
      <c r="V158" s="8"/>
      <c r="W158" s="8"/>
      <c r="X158" s="8"/>
      <c r="Y158" s="8"/>
      <c r="Z158" s="8"/>
      <c r="AA158" s="8"/>
      <c r="AB158" s="8"/>
      <c r="AC158" s="8"/>
    </row>
    <row r="159" spans="1:29" s="1" customFormat="1" ht="13.5" customHeight="1">
      <c r="A159" s="8" t="s">
        <v>11</v>
      </c>
      <c r="B159" s="8"/>
      <c r="C159" s="8"/>
      <c r="D159" s="8"/>
      <c r="E159" s="8"/>
      <c r="F159" s="8"/>
      <c r="G159" s="8"/>
      <c r="H159" s="8"/>
      <c r="I159" s="5" t="s">
        <v>11</v>
      </c>
      <c r="J159" s="11" t="s">
        <v>240</v>
      </c>
      <c r="K159" s="11"/>
      <c r="L159" s="11"/>
      <c r="M159" s="11"/>
      <c r="N159" s="8" t="s">
        <v>11</v>
      </c>
      <c r="O159" s="8"/>
      <c r="P159" s="5" t="s">
        <v>11</v>
      </c>
      <c r="Q159" s="11" t="s">
        <v>241</v>
      </c>
      <c r="R159" s="11"/>
      <c r="S159" s="11"/>
      <c r="T159" s="8" t="s">
        <v>11</v>
      </c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s="1" customFormat="1" ht="7.5" customHeight="1">
      <c r="A160" s="8" t="s">
        <v>11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1" customFormat="1" ht="13.5" customHeight="1">
      <c r="A161" s="8" t="s">
        <v>242</v>
      </c>
      <c r="B161" s="8"/>
      <c r="C161" s="8"/>
      <c r="D161" s="8"/>
      <c r="E161" s="8"/>
      <c r="F161" s="8"/>
      <c r="G161" s="8"/>
      <c r="H161" s="8"/>
      <c r="I161" s="12" t="s">
        <v>11</v>
      </c>
      <c r="J161" s="12"/>
      <c r="K161" s="12"/>
      <c r="L161" s="12"/>
      <c r="M161" s="12"/>
      <c r="N161" s="12"/>
      <c r="O161" s="12"/>
      <c r="P161" s="12" t="s">
        <v>243</v>
      </c>
      <c r="Q161" s="12"/>
      <c r="R161" s="12"/>
      <c r="S161" s="12"/>
      <c r="T161" s="12"/>
      <c r="U161" s="8" t="s">
        <v>11</v>
      </c>
      <c r="V161" s="8"/>
      <c r="W161" s="8"/>
      <c r="X161" s="8"/>
      <c r="Y161" s="8"/>
      <c r="Z161" s="8"/>
      <c r="AA161" s="8"/>
      <c r="AB161" s="8"/>
      <c r="AC161" s="8"/>
    </row>
    <row r="162" spans="1:29" s="1" customFormat="1" ht="13.5" customHeight="1">
      <c r="A162" s="8" t="s">
        <v>11</v>
      </c>
      <c r="B162" s="8"/>
      <c r="C162" s="8"/>
      <c r="D162" s="8"/>
      <c r="E162" s="8"/>
      <c r="F162" s="8"/>
      <c r="G162" s="8"/>
      <c r="H162" s="8"/>
      <c r="I162" s="5" t="s">
        <v>11</v>
      </c>
      <c r="J162" s="11" t="s">
        <v>240</v>
      </c>
      <c r="K162" s="11"/>
      <c r="L162" s="11"/>
      <c r="M162" s="11"/>
      <c r="N162" s="8" t="s">
        <v>11</v>
      </c>
      <c r="O162" s="8"/>
      <c r="P162" s="5" t="s">
        <v>11</v>
      </c>
      <c r="Q162" s="11" t="s">
        <v>241</v>
      </c>
      <c r="R162" s="11"/>
      <c r="S162" s="11"/>
      <c r="T162" s="8" t="s">
        <v>11</v>
      </c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s="1" customFormat="1" ht="7.5" customHeight="1">
      <c r="A163" s="8" t="s">
        <v>11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1" customFormat="1" ht="13.5" customHeight="1">
      <c r="A164" s="8" t="s">
        <v>244</v>
      </c>
      <c r="B164" s="8"/>
      <c r="C164" s="12" t="s">
        <v>242</v>
      </c>
      <c r="D164" s="12"/>
      <c r="E164" s="12"/>
      <c r="F164" s="12"/>
      <c r="G164" s="12"/>
      <c r="H164" s="12"/>
      <c r="I164" s="12" t="s">
        <v>11</v>
      </c>
      <c r="J164" s="12"/>
      <c r="K164" s="12"/>
      <c r="L164" s="12"/>
      <c r="M164" s="12"/>
      <c r="N164" s="12"/>
      <c r="O164" s="12"/>
      <c r="P164" s="12" t="s">
        <v>243</v>
      </c>
      <c r="Q164" s="12"/>
      <c r="R164" s="12"/>
      <c r="S164" s="12"/>
      <c r="T164" s="12"/>
      <c r="U164" s="8" t="s">
        <v>11</v>
      </c>
      <c r="V164" s="8"/>
      <c r="W164" s="8"/>
      <c r="X164" s="8"/>
      <c r="Y164" s="8"/>
      <c r="Z164" s="8"/>
      <c r="AA164" s="8"/>
      <c r="AB164" s="8"/>
      <c r="AC164" s="8"/>
    </row>
    <row r="165" spans="1:29" s="1" customFormat="1" ht="13.5" customHeight="1">
      <c r="A165" s="8" t="s">
        <v>11</v>
      </c>
      <c r="B165" s="8"/>
      <c r="C165" s="5" t="s">
        <v>11</v>
      </c>
      <c r="D165" s="11" t="s">
        <v>245</v>
      </c>
      <c r="E165" s="11"/>
      <c r="F165" s="11"/>
      <c r="G165" s="11"/>
      <c r="H165" s="5" t="s">
        <v>11</v>
      </c>
      <c r="I165" s="5" t="s">
        <v>11</v>
      </c>
      <c r="J165" s="11" t="s">
        <v>240</v>
      </c>
      <c r="K165" s="11"/>
      <c r="L165" s="11"/>
      <c r="M165" s="11"/>
      <c r="N165" s="8" t="s">
        <v>11</v>
      </c>
      <c r="O165" s="8"/>
      <c r="P165" s="5" t="s">
        <v>11</v>
      </c>
      <c r="Q165" s="11" t="s">
        <v>241</v>
      </c>
      <c r="R165" s="11"/>
      <c r="S165" s="11"/>
      <c r="T165" s="8" t="s">
        <v>11</v>
      </c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s="1" customFormat="1" ht="15.75" customHeight="1">
      <c r="A166" s="8" t="s">
        <v>11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s="1" customFormat="1" ht="13.5" customHeight="1">
      <c r="A167" s="9" t="s">
        <v>246</v>
      </c>
      <c r="B167" s="9"/>
      <c r="C167" s="9"/>
      <c r="D167" s="9"/>
      <c r="E167" s="9"/>
      <c r="F167" s="9"/>
      <c r="G167" s="9"/>
      <c r="H167" s="9"/>
      <c r="I167" s="9"/>
      <c r="J167" s="9"/>
      <c r="K167" s="8" t="s">
        <v>11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s="1" customFormat="1" ht="13.5" customHeight="1">
      <c r="A168" s="10" t="s">
        <v>247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</sheetData>
  <sheetProtection/>
  <mergeCells count="991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A48:L48"/>
    <mergeCell ref="M48:O48"/>
    <mergeCell ref="P48:R48"/>
    <mergeCell ref="S48:U48"/>
    <mergeCell ref="V48:Z48"/>
    <mergeCell ref="AA48:AC48"/>
    <mergeCell ref="A49:L49"/>
    <mergeCell ref="M49:O49"/>
    <mergeCell ref="P49:R49"/>
    <mergeCell ref="S49:U49"/>
    <mergeCell ref="V49:Z49"/>
    <mergeCell ref="AA49:AC49"/>
    <mergeCell ref="A50:L50"/>
    <mergeCell ref="M50:O50"/>
    <mergeCell ref="P50:R50"/>
    <mergeCell ref="S50:U50"/>
    <mergeCell ref="V50:Z50"/>
    <mergeCell ref="AA50:AC50"/>
    <mergeCell ref="A51:L51"/>
    <mergeCell ref="M51:O51"/>
    <mergeCell ref="P51:R51"/>
    <mergeCell ref="S51:U51"/>
    <mergeCell ref="V51:Z51"/>
    <mergeCell ref="AA51:AC51"/>
    <mergeCell ref="A52:L52"/>
    <mergeCell ref="M52:O52"/>
    <mergeCell ref="P52:R52"/>
    <mergeCell ref="S52:U52"/>
    <mergeCell ref="V52:Z52"/>
    <mergeCell ref="AA52:AC52"/>
    <mergeCell ref="A53:L53"/>
    <mergeCell ref="M53:O53"/>
    <mergeCell ref="P53:R53"/>
    <mergeCell ref="S53:U53"/>
    <mergeCell ref="V53:Z53"/>
    <mergeCell ref="AA53:AC53"/>
    <mergeCell ref="A54:L54"/>
    <mergeCell ref="M54:O54"/>
    <mergeCell ref="P54:R54"/>
    <mergeCell ref="S54:U54"/>
    <mergeCell ref="V54:Z54"/>
    <mergeCell ref="AA54:AC54"/>
    <mergeCell ref="A55:L55"/>
    <mergeCell ref="M55:O55"/>
    <mergeCell ref="P55:R55"/>
    <mergeCell ref="S55:U55"/>
    <mergeCell ref="V55:Z55"/>
    <mergeCell ref="AA55:AC55"/>
    <mergeCell ref="A56:L56"/>
    <mergeCell ref="M56:O56"/>
    <mergeCell ref="P56:R56"/>
    <mergeCell ref="S56:U56"/>
    <mergeCell ref="V56:Z56"/>
    <mergeCell ref="AA56:AC56"/>
    <mergeCell ref="A57:L57"/>
    <mergeCell ref="M57:O57"/>
    <mergeCell ref="P57:R57"/>
    <mergeCell ref="S57:U57"/>
    <mergeCell ref="V57:Z57"/>
    <mergeCell ref="AA57:AC57"/>
    <mergeCell ref="A58:L58"/>
    <mergeCell ref="M58:O58"/>
    <mergeCell ref="P58:R58"/>
    <mergeCell ref="S58:U58"/>
    <mergeCell ref="V58:Z58"/>
    <mergeCell ref="AA58:AC58"/>
    <mergeCell ref="A59:L59"/>
    <mergeCell ref="M59:O59"/>
    <mergeCell ref="P59:R59"/>
    <mergeCell ref="S59:U59"/>
    <mergeCell ref="V59:Z59"/>
    <mergeCell ref="AA59:AC59"/>
    <mergeCell ref="A60:AC60"/>
    <mergeCell ref="A61:AC61"/>
    <mergeCell ref="A62:K62"/>
    <mergeCell ref="L62:N62"/>
    <mergeCell ref="O62:Q62"/>
    <mergeCell ref="R62:S62"/>
    <mergeCell ref="T62:V62"/>
    <mergeCell ref="W62:AA62"/>
    <mergeCell ref="AB62:AC62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A139:K139"/>
    <mergeCell ref="L139:N139"/>
    <mergeCell ref="O139:Q139"/>
    <mergeCell ref="R139:S139"/>
    <mergeCell ref="T139:V139"/>
    <mergeCell ref="W139:AA139"/>
    <mergeCell ref="A140:K140"/>
    <mergeCell ref="L140:N140"/>
    <mergeCell ref="O140:Q140"/>
    <mergeCell ref="R140:S140"/>
    <mergeCell ref="T140:V140"/>
    <mergeCell ref="W140:AA140"/>
    <mergeCell ref="L141:N141"/>
    <mergeCell ref="O141:Q141"/>
    <mergeCell ref="R141:S141"/>
    <mergeCell ref="T141:V141"/>
    <mergeCell ref="W141:AA141"/>
    <mergeCell ref="AB139:AC139"/>
    <mergeCell ref="AB140:AC140"/>
    <mergeCell ref="AB141:AC141"/>
    <mergeCell ref="AB142:AC142"/>
    <mergeCell ref="AB143:AC143"/>
    <mergeCell ref="A142:K142"/>
    <mergeCell ref="L142:N142"/>
    <mergeCell ref="O142:Q142"/>
    <mergeCell ref="R142:S142"/>
    <mergeCell ref="T142:V142"/>
    <mergeCell ref="W142:AA142"/>
    <mergeCell ref="A143:K143"/>
    <mergeCell ref="A141:K141"/>
    <mergeCell ref="P146:R146"/>
    <mergeCell ref="S146:U146"/>
    <mergeCell ref="V146:Z146"/>
    <mergeCell ref="AA146:AC146"/>
    <mergeCell ref="L143:N143"/>
    <mergeCell ref="O143:Q143"/>
    <mergeCell ref="R143:S143"/>
    <mergeCell ref="T143:V143"/>
    <mergeCell ref="W143:AA143"/>
    <mergeCell ref="A147:L147"/>
    <mergeCell ref="M147:O147"/>
    <mergeCell ref="P147:R147"/>
    <mergeCell ref="S147:U147"/>
    <mergeCell ref="V147:Z147"/>
    <mergeCell ref="A144:AC144"/>
    <mergeCell ref="A145:AC145"/>
    <mergeCell ref="A146:L146"/>
    <mergeCell ref="M146:O146"/>
    <mergeCell ref="AA147:AC147"/>
    <mergeCell ref="A148:L148"/>
    <mergeCell ref="M148:O148"/>
    <mergeCell ref="P148:R148"/>
    <mergeCell ref="S148:U148"/>
    <mergeCell ref="V148:Z148"/>
    <mergeCell ref="AA148:AC148"/>
    <mergeCell ref="A149:L149"/>
    <mergeCell ref="M149:O149"/>
    <mergeCell ref="P149:R149"/>
    <mergeCell ref="S149:U149"/>
    <mergeCell ref="V149:Z149"/>
    <mergeCell ref="AA149:AC149"/>
    <mergeCell ref="A150:L150"/>
    <mergeCell ref="M150:O150"/>
    <mergeCell ref="P150:R150"/>
    <mergeCell ref="S150:U150"/>
    <mergeCell ref="V150:Z150"/>
    <mergeCell ref="AA150:AC150"/>
    <mergeCell ref="A151:AC151"/>
    <mergeCell ref="A152:L152"/>
    <mergeCell ref="M152:O152"/>
    <mergeCell ref="P152:R152"/>
    <mergeCell ref="S152:U152"/>
    <mergeCell ref="V152:Z152"/>
    <mergeCell ref="AA152:AC152"/>
    <mergeCell ref="A153:L153"/>
    <mergeCell ref="M153:O153"/>
    <mergeCell ref="P153:R153"/>
    <mergeCell ref="S153:U153"/>
    <mergeCell ref="V153:Z153"/>
    <mergeCell ref="AA153:AC153"/>
    <mergeCell ref="A154:L154"/>
    <mergeCell ref="M154:O154"/>
    <mergeCell ref="P154:R154"/>
    <mergeCell ref="S154:U154"/>
    <mergeCell ref="V154:Z154"/>
    <mergeCell ref="AA154:AC154"/>
    <mergeCell ref="A155:L155"/>
    <mergeCell ref="M155:O155"/>
    <mergeCell ref="P155:R155"/>
    <mergeCell ref="S155:U155"/>
    <mergeCell ref="V155:Z155"/>
    <mergeCell ref="AA155:AC155"/>
    <mergeCell ref="A156:L156"/>
    <mergeCell ref="M156:O156"/>
    <mergeCell ref="P156:R156"/>
    <mergeCell ref="S156:U156"/>
    <mergeCell ref="V156:Z156"/>
    <mergeCell ref="AA156:AC156"/>
    <mergeCell ref="A157:AC157"/>
    <mergeCell ref="A158:H158"/>
    <mergeCell ref="I158:O158"/>
    <mergeCell ref="P158:T158"/>
    <mergeCell ref="U158:AC158"/>
    <mergeCell ref="A159:H159"/>
    <mergeCell ref="J159:M159"/>
    <mergeCell ref="N159:O159"/>
    <mergeCell ref="Q159:S159"/>
    <mergeCell ref="T159:AC159"/>
    <mergeCell ref="A160:AC160"/>
    <mergeCell ref="A161:H161"/>
    <mergeCell ref="I161:O161"/>
    <mergeCell ref="P161:T161"/>
    <mergeCell ref="U161:AC161"/>
    <mergeCell ref="A162:H162"/>
    <mergeCell ref="J162:M162"/>
    <mergeCell ref="N162:O162"/>
    <mergeCell ref="Q162:S162"/>
    <mergeCell ref="T162:AC162"/>
    <mergeCell ref="A163:AC163"/>
    <mergeCell ref="A164:B164"/>
    <mergeCell ref="C164:H164"/>
    <mergeCell ref="I164:O164"/>
    <mergeCell ref="P164:T164"/>
    <mergeCell ref="U164:AC164"/>
    <mergeCell ref="A166:AC166"/>
    <mergeCell ref="A167:J167"/>
    <mergeCell ref="K167:AC167"/>
    <mergeCell ref="A168:AC168"/>
    <mergeCell ref="A165:B165"/>
    <mergeCell ref="D165:G165"/>
    <mergeCell ref="J165:M165"/>
    <mergeCell ref="N165:O165"/>
    <mergeCell ref="Q165:S165"/>
    <mergeCell ref="T165:AC165"/>
  </mergeCells>
  <printOptions/>
  <pageMargins left="0.3937007874015748" right="0" top="0.3937007874015748" bottom="0" header="0.5" footer="0.5"/>
  <pageSetup fitToHeight="0" fitToWidth="1"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2020-12-16T12:17:31Z</cp:lastPrinted>
  <dcterms:created xsi:type="dcterms:W3CDTF">2020-12-07T04:32:56Z</dcterms:created>
  <dcterms:modified xsi:type="dcterms:W3CDTF">2020-12-16T12:18:15Z</dcterms:modified>
  <cp:category/>
  <cp:version/>
  <cp:contentType/>
  <cp:contentStatus/>
</cp:coreProperties>
</file>