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3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<sst xmlns="http://schemas.openxmlformats.org/spreadsheetml/2006/main" count="521" uniqueCount="193">
  <si>
    <t>ОТЧЕТ ОБ ИСПОЛНЕНИИ БЮДЖЕТА</t>
  </si>
  <si>
    <t>КОДЫ</t>
  </si>
  <si>
    <t xml:space="preserve">Форма по ОКУД </t>
  </si>
  <si>
    <t>0503117</t>
  </si>
  <si>
    <t>на 1 октября 2016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</si>
  <si>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</si>
  <si>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</si>
  <si>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</si>
  <si>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</si>
  <si>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</si>
  <si>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</si>
  <si>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</si>
  <si>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</si>
  <si>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</si>
  <si>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</si>
  <si>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</si>
  <si>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</si>
  <si>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</si>
  <si>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</si>
  <si>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</si>
  <si>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</si>
  <si>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</si>
  <si>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</si>
  <si>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</si>
  <si>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</si>
  <si>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</si>
  <si>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</si>
  <si>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</si>
  <si>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</si>
  <si>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</si>
  <si>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</si>
  <si>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</si>
  <si>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</si>
  <si>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</si>
  <si>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</si>
  <si>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</si>
  <si>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</si>
  <si>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</si>
  <si>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</si>
  <si>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</si>
  <si>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</si>
  <si>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</si>
  <si>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</si>
  <si>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</si>
  <si>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</si>
  <si>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182 10102020 01 2100 110</t>
  </si>
  <si>
    <t>182 10102020 01 3000 110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</si>
  <si>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</si>
  <si>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</si>
  <si>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</si>
  <si>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</si>
  <si>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</si>
  <si>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</si>
  <si>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</si>
  <si>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</si>
  <si>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</si>
  <si>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</si>
  <si>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</si>
  <si>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</si>
  <si>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</si>
  <si>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182 10606033 10 4000 110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</si>
  <si>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</si>
  <si>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</si>
  <si>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</si>
  <si>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</si>
  <si>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</si>
  <si>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</si>
  <si>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</si>
  <si>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</si>
  <si>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</si>
  <si>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</si>
  <si>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</si>
  <si>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</si>
  <si>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</si>
  <si>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</si>
  <si>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</si>
  <si>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</si>
  <si>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</si>
  <si>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</si>
  <si>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</si>
  <si>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</si>
  <si>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</si>
  <si>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</si>
  <si>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</si>
  <si>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</si>
  <si>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</si>
  <si>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</si>
  <si>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сельских поселений</t>
  </si>
  <si>
    <t>650 20204999 10 0000 151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</si>
  <si>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</si>
  <si>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</si>
  <si>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</si>
  <si>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</si>
  <si>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</si>
  <si>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</si>
  <si>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</si>
  <si>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</si>
  <si>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</si>
  <si>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</si>
  <si>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</si>
  <si>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выплаты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</si>
  <si>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</si>
  <si>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</si>
  <si>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</si>
  <si>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</si>
  <si>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</si>
  <si>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650 0104 0910120614 121</t>
  </si>
  <si>
    <t>650 0104 0910120614 129</t>
  </si>
  <si>
    <t>650 0104 5010002040 121</t>
  </si>
  <si>
    <t>650 0104 5010002040 129</t>
  </si>
  <si>
    <t>Прочие расходы</t>
  </si>
  <si>
    <t>650 0111 5000020940 870</t>
  </si>
  <si>
    <t>290</t>
  </si>
  <si>
    <t>650 0113 5020000600 111</t>
  </si>
  <si>
    <t>650 0113 5020000600 112</t>
  </si>
  <si>
    <t>650 0113 5020000600 119</t>
  </si>
  <si>
    <t>Услуги связи</t>
  </si>
  <si>
    <t>650 0113 5020000600 242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</si>
  <si>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</si>
  <si>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</si>
  <si>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</si>
  <si>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</si>
  <si>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</si>
  <si>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</si>
  <si>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</si>
  <si>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</si>
  <si>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</si>
  <si>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650 0113 5020000600 244</t>
  </si>
  <si>
    <t>Коммунальные услуги</t>
  </si>
  <si>
    <t>223</t>
  </si>
  <si>
    <t>650 0113 5020000600 852</t>
  </si>
  <si>
    <t>650 0113 5020000600 853</t>
  </si>
  <si>
    <t>650 0113 5030009200 244</t>
  </si>
  <si>
    <t>650 0113 5030009200 853</t>
  </si>
  <si>
    <t>650 0113 5030009250 122</t>
  </si>
  <si>
    <t>Арендная плата за пользование имуществом</t>
  </si>
  <si>
    <t>650 0113 5030009300 244</t>
  </si>
  <si>
    <t>224</t>
  </si>
  <si>
    <t>650 0113 5030009300 851</t>
  </si>
  <si>
    <t>650 0113 5030009300 852</t>
  </si>
  <si>
    <t>650 0113 5030009300 853</t>
  </si>
  <si>
    <t>650 0203 5000051180 121</t>
  </si>
  <si>
    <t>650 0203 5000051180 129</t>
  </si>
  <si>
    <t>650 0309 5030003090 244</t>
  </si>
  <si>
    <t>650 0314 0900107950 244</t>
  </si>
  <si>
    <t>650 0314 1010120636 244</t>
  </si>
  <si>
    <t>650 0314 1010182300 123</t>
  </si>
  <si>
    <t>650 0314 10101S2300 123</t>
  </si>
  <si>
    <t>650 0409 0300107950 244</t>
  </si>
  <si>
    <t>650 0409 0910120614 244</t>
  </si>
  <si>
    <t>650 0409 1500282390 244</t>
  </si>
  <si>
    <t>650 0409 15002S2390 244</t>
  </si>
  <si>
    <t>650 0410 0400120070 242</t>
  </si>
  <si>
    <t>650 0501 1600120963 244</t>
  </si>
  <si>
    <t>650 0501 5030000350 244</t>
  </si>
  <si>
    <t>650 0503 0910120614 244</t>
  </si>
  <si>
    <t>650 0503 0920120616 244</t>
  </si>
  <si>
    <t>650 0503 5030006100 244</t>
  </si>
  <si>
    <t>650 0503 5030006300 244</t>
  </si>
  <si>
    <t>650 0503 5030006500 244</t>
  </si>
  <si>
    <t>650 0605 1200220629 244</t>
  </si>
  <si>
    <t>650 0707 5030004310 244</t>
  </si>
  <si>
    <t>Перечисления другим бюджетам бюджетной системы Российской Федерации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</si>
  <si>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</si>
  <si>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</si>
  <si>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</si>
  <si>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</si>
  <si>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</si>
  <si>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</si>
  <si>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</si>
  <si>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</si>
  <si>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</si>
  <si>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</si>
  <si>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</si>
  <si>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</si>
  <si>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</si>
  <si>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</si>
  <si>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</si>
  <si>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</si>
  <si>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</si>
  <si>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</si>
  <si>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</si>
  <si>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</si>
  <si>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</si>
  <si>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</si>
  <si>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</si>
  <si>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</si>
  <si>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</si>
  <si>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</si>
  <si>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</si>
  <si>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</si>
  <si>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</si>
  <si>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03 октября 2016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</si>
</sst>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3" fontId="5" fillId="33" borderId="25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9"/>
  <sheetViews>
    <sheetView tabSelected="1" zoomScalePageLayoutView="0" workbookViewId="0" topLeftCell="A86">
      <selection activeCell="O112" sqref="O112:Q11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  <col min="31" max="31" width="15.7109375" style="0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42644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11</v>
      </c>
    </row>
    <row r="6" spans="1:29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14</v>
      </c>
      <c r="Z6" s="9"/>
      <c r="AA6" s="9"/>
      <c r="AB6" s="9"/>
      <c r="AC6" s="6" t="s">
        <v>15</v>
      </c>
    </row>
    <row r="7" spans="1:29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11</v>
      </c>
    </row>
    <row r="8" spans="1:29" s="1" customFormat="1" ht="13.5" customHeight="1">
      <c r="A8" s="10" t="s">
        <v>18</v>
      </c>
      <c r="B8" s="10"/>
      <c r="C8" s="10"/>
      <c r="D8" s="10"/>
      <c r="E8" s="10" t="s">
        <v>19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20</v>
      </c>
      <c r="Y8" s="9"/>
      <c r="Z8" s="9"/>
      <c r="AA8" s="9"/>
      <c r="AB8" s="9"/>
      <c r="AC8" s="7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34089777.01</f>
        <v>34089777.01</v>
      </c>
      <c r="T12" s="21"/>
      <c r="U12" s="21"/>
      <c r="V12" s="21">
        <f>SUM(V14:Z42)</f>
        <v>32085746.28</v>
      </c>
      <c r="W12" s="21"/>
      <c r="X12" s="21"/>
      <c r="Y12" s="21"/>
      <c r="Z12" s="21"/>
      <c r="AA12" s="22">
        <f>S12-V12</f>
        <v>2004030.7299999967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10655000</f>
        <v>10655000</v>
      </c>
      <c r="T13" s="25"/>
      <c r="U13" s="25"/>
      <c r="V13" s="25">
        <v>0</v>
      </c>
      <c r="W13" s="25"/>
      <c r="X13" s="25"/>
      <c r="Y13" s="25"/>
      <c r="Z13" s="25"/>
      <c r="AA13" s="26">
        <f>S13-V13</f>
        <v>10655000</v>
      </c>
      <c r="AB13" s="26"/>
      <c r="AC13" s="26"/>
    </row>
    <row r="14" spans="1:29" s="1" customFormat="1" ht="4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41</v>
      </c>
      <c r="Q14" s="24"/>
      <c r="R14" s="24"/>
      <c r="S14" s="25">
        <v>0</v>
      </c>
      <c r="T14" s="25"/>
      <c r="U14" s="25"/>
      <c r="V14" s="25">
        <v>9338984.89</v>
      </c>
      <c r="W14" s="25"/>
      <c r="X14" s="25"/>
      <c r="Y14" s="25"/>
      <c r="Z14" s="25"/>
      <c r="AA14" s="26">
        <f aca="true" t="shared" si="0" ref="AA14:AA20">S14-V14</f>
        <v>-9338984.89</v>
      </c>
      <c r="AB14" s="26"/>
      <c r="AC14" s="26"/>
    </row>
    <row r="15" spans="1:29" s="1" customFormat="1" ht="45" customHeight="1">
      <c r="A15" s="23" t="s">
        <v>38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42</v>
      </c>
      <c r="Q15" s="24"/>
      <c r="R15" s="24"/>
      <c r="S15" s="25">
        <v>0</v>
      </c>
      <c r="T15" s="25"/>
      <c r="U15" s="25"/>
      <c r="V15" s="25">
        <v>173.52</v>
      </c>
      <c r="W15" s="25"/>
      <c r="X15" s="25"/>
      <c r="Y15" s="25"/>
      <c r="Z15" s="25"/>
      <c r="AA15" s="26">
        <f t="shared" si="0"/>
        <v>-173.52</v>
      </c>
      <c r="AB15" s="26"/>
      <c r="AC15" s="26"/>
    </row>
    <row r="16" spans="1:29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44</v>
      </c>
      <c r="Q16" s="24"/>
      <c r="R16" s="24"/>
      <c r="S16" s="25">
        <v>0</v>
      </c>
      <c r="T16" s="25"/>
      <c r="U16" s="25"/>
      <c r="V16" s="25">
        <f>6872.4</f>
        <v>6872.4</v>
      </c>
      <c r="W16" s="25"/>
      <c r="X16" s="25"/>
      <c r="Y16" s="25"/>
      <c r="Z16" s="25"/>
      <c r="AA16" s="26">
        <f t="shared" si="0"/>
        <v>-6872.4</v>
      </c>
      <c r="AB16" s="26"/>
      <c r="AC16" s="26"/>
    </row>
    <row r="17" spans="1:29" s="1" customFormat="1" ht="66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45</v>
      </c>
      <c r="Q17" s="24"/>
      <c r="R17" s="24"/>
      <c r="S17" s="25">
        <v>0</v>
      </c>
      <c r="T17" s="25"/>
      <c r="U17" s="25"/>
      <c r="V17" s="25">
        <f>594.07</f>
        <v>594.07</v>
      </c>
      <c r="W17" s="25"/>
      <c r="X17" s="25"/>
      <c r="Y17" s="25"/>
      <c r="Z17" s="25"/>
      <c r="AA17" s="26">
        <f t="shared" si="0"/>
        <v>-594.07</v>
      </c>
      <c r="AB17" s="26"/>
      <c r="AC17" s="26"/>
    </row>
    <row r="18" spans="1:29" s="1" customFormat="1" ht="66" customHeight="1">
      <c r="A18" s="23" t="s">
        <v>43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46</v>
      </c>
      <c r="Q18" s="24"/>
      <c r="R18" s="24"/>
      <c r="S18" s="25">
        <v>0</v>
      </c>
      <c r="T18" s="25"/>
      <c r="U18" s="25"/>
      <c r="V18" s="25">
        <f>200</f>
        <v>200</v>
      </c>
      <c r="W18" s="25"/>
      <c r="X18" s="25"/>
      <c r="Y18" s="25"/>
      <c r="Z18" s="25"/>
      <c r="AA18" s="26">
        <f t="shared" si="0"/>
        <v>-200</v>
      </c>
      <c r="AB18" s="26"/>
      <c r="AC18" s="26"/>
    </row>
    <row r="19" spans="1:29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48</v>
      </c>
      <c r="Q19" s="24"/>
      <c r="R19" s="24"/>
      <c r="S19" s="25">
        <v>0</v>
      </c>
      <c r="T19" s="25"/>
      <c r="U19" s="25"/>
      <c r="V19" s="25">
        <v>4576.4</v>
      </c>
      <c r="W19" s="25"/>
      <c r="X19" s="25"/>
      <c r="Y19" s="25"/>
      <c r="Z19" s="25"/>
      <c r="AA19" s="26">
        <f t="shared" si="0"/>
        <v>-4576.4</v>
      </c>
      <c r="AB19" s="26"/>
      <c r="AC19" s="26"/>
    </row>
    <row r="20" spans="1:29" s="1" customFormat="1" ht="24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49</v>
      </c>
      <c r="Q20" s="24"/>
      <c r="R20" s="24"/>
      <c r="S20" s="25">
        <v>0</v>
      </c>
      <c r="T20" s="25"/>
      <c r="U20" s="25"/>
      <c r="V20" s="25">
        <f>50</f>
        <v>50</v>
      </c>
      <c r="W20" s="25"/>
      <c r="X20" s="25"/>
      <c r="Y20" s="25"/>
      <c r="Z20" s="25"/>
      <c r="AA20" s="26">
        <f t="shared" si="0"/>
        <v>-50</v>
      </c>
      <c r="AB20" s="26"/>
      <c r="AC20" s="26"/>
    </row>
    <row r="21" spans="1:29" s="1" customFormat="1" ht="24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51</v>
      </c>
      <c r="Q21" s="24"/>
      <c r="R21" s="24"/>
      <c r="S21" s="25">
        <f>300000</f>
        <v>300000</v>
      </c>
      <c r="T21" s="25"/>
      <c r="U21" s="25"/>
      <c r="V21" s="25">
        <v>0</v>
      </c>
      <c r="W21" s="25"/>
      <c r="X21" s="25"/>
      <c r="Y21" s="25"/>
      <c r="Z21" s="25"/>
      <c r="AA21" s="26">
        <f aca="true" t="shared" si="1" ref="AA21:AA42">S21-V21</f>
        <v>300000</v>
      </c>
      <c r="AB21" s="26"/>
      <c r="AC21" s="26"/>
    </row>
    <row r="22" spans="1:29" s="1" customFormat="1" ht="33.75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53</v>
      </c>
      <c r="Q22" s="24"/>
      <c r="R22" s="24"/>
      <c r="S22" s="25">
        <v>0</v>
      </c>
      <c r="T22" s="25"/>
      <c r="U22" s="25"/>
      <c r="V22" s="25">
        <v>29435.4</v>
      </c>
      <c r="W22" s="25"/>
      <c r="X22" s="25"/>
      <c r="Y22" s="25"/>
      <c r="Z22" s="25"/>
      <c r="AA22" s="26">
        <f t="shared" si="1"/>
        <v>-29435.4</v>
      </c>
      <c r="AB22" s="26"/>
      <c r="AC22" s="26"/>
    </row>
    <row r="23" spans="1:29" s="1" customFormat="1" ht="33.75" customHeight="1">
      <c r="A23" s="23" t="s">
        <v>52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54</v>
      </c>
      <c r="Q23" s="24"/>
      <c r="R23" s="24"/>
      <c r="S23" s="25">
        <v>0</v>
      </c>
      <c r="T23" s="25"/>
      <c r="U23" s="25"/>
      <c r="V23" s="25">
        <v>4200.15</v>
      </c>
      <c r="W23" s="25"/>
      <c r="X23" s="25"/>
      <c r="Y23" s="25"/>
      <c r="Z23" s="25"/>
      <c r="AA23" s="26">
        <f t="shared" si="1"/>
        <v>-4200.15</v>
      </c>
      <c r="AB23" s="26"/>
      <c r="AC23" s="26"/>
    </row>
    <row r="24" spans="1:29" s="1" customFormat="1" ht="24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56</v>
      </c>
      <c r="Q24" s="24"/>
      <c r="R24" s="24"/>
      <c r="S24" s="25">
        <f>120000</f>
        <v>120000</v>
      </c>
      <c r="T24" s="25"/>
      <c r="U24" s="25"/>
      <c r="V24" s="25">
        <v>0</v>
      </c>
      <c r="W24" s="25"/>
      <c r="X24" s="25"/>
      <c r="Y24" s="25"/>
      <c r="Z24" s="25"/>
      <c r="AA24" s="26">
        <f t="shared" si="1"/>
        <v>120000</v>
      </c>
      <c r="AB24" s="26"/>
      <c r="AC24" s="26"/>
    </row>
    <row r="25" spans="1:29" s="1" customFormat="1" ht="24" customHeight="1">
      <c r="A25" s="23" t="s">
        <v>57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58</v>
      </c>
      <c r="Q25" s="24"/>
      <c r="R25" s="24"/>
      <c r="S25" s="25">
        <v>0</v>
      </c>
      <c r="T25" s="25"/>
      <c r="U25" s="25"/>
      <c r="V25" s="25">
        <f>148702</f>
        <v>148702</v>
      </c>
      <c r="W25" s="25"/>
      <c r="X25" s="25"/>
      <c r="Y25" s="25"/>
      <c r="Z25" s="25"/>
      <c r="AA25" s="26">
        <f t="shared" si="1"/>
        <v>-148702</v>
      </c>
      <c r="AB25" s="26"/>
      <c r="AC25" s="26"/>
    </row>
    <row r="26" spans="1:29" s="1" customFormat="1" ht="24" customHeight="1">
      <c r="A26" s="23" t="s">
        <v>57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59</v>
      </c>
      <c r="Q26" s="24"/>
      <c r="R26" s="24"/>
      <c r="S26" s="25">
        <v>0</v>
      </c>
      <c r="T26" s="25"/>
      <c r="U26" s="25"/>
      <c r="V26" s="25">
        <v>191.13</v>
      </c>
      <c r="W26" s="25"/>
      <c r="X26" s="25"/>
      <c r="Y26" s="25"/>
      <c r="Z26" s="25"/>
      <c r="AA26" s="26">
        <f t="shared" si="1"/>
        <v>-191.13</v>
      </c>
      <c r="AB26" s="26"/>
      <c r="AC26" s="26"/>
    </row>
    <row r="27" spans="1:29" s="1" customFormat="1" ht="24" customHeight="1" hidden="1">
      <c r="A27" s="23" t="s">
        <v>57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60</v>
      </c>
      <c r="Q27" s="24"/>
      <c r="R27" s="24"/>
      <c r="S27" s="25" t="s">
        <v>40</v>
      </c>
      <c r="T27" s="25"/>
      <c r="U27" s="25"/>
      <c r="V27" s="25">
        <v>0</v>
      </c>
      <c r="W27" s="25"/>
      <c r="X27" s="25"/>
      <c r="Y27" s="25"/>
      <c r="Z27" s="25"/>
      <c r="AA27" s="26" t="e">
        <f t="shared" si="1"/>
        <v>#VALUE!</v>
      </c>
      <c r="AB27" s="26"/>
      <c r="AC27" s="26"/>
    </row>
    <row r="28" spans="1:29" s="1" customFormat="1" ht="24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62</v>
      </c>
      <c r="Q28" s="24"/>
      <c r="R28" s="24"/>
      <c r="S28" s="25">
        <f>5000</f>
        <v>5000</v>
      </c>
      <c r="T28" s="25"/>
      <c r="U28" s="25"/>
      <c r="V28" s="25">
        <v>0</v>
      </c>
      <c r="W28" s="25"/>
      <c r="X28" s="25"/>
      <c r="Y28" s="25"/>
      <c r="Z28" s="25"/>
      <c r="AA28" s="26">
        <f t="shared" si="1"/>
        <v>5000</v>
      </c>
      <c r="AB28" s="26"/>
      <c r="AC28" s="26"/>
    </row>
    <row r="29" spans="1:29" s="1" customFormat="1" ht="24" customHeight="1">
      <c r="A29" s="23" t="s">
        <v>63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64</v>
      </c>
      <c r="Q29" s="24"/>
      <c r="R29" s="24"/>
      <c r="S29" s="25">
        <v>0</v>
      </c>
      <c r="T29" s="25"/>
      <c r="U29" s="25"/>
      <c r="V29" s="25">
        <v>426.03</v>
      </c>
      <c r="W29" s="25"/>
      <c r="X29" s="25"/>
      <c r="Y29" s="25"/>
      <c r="Z29" s="25"/>
      <c r="AA29" s="26">
        <f t="shared" si="1"/>
        <v>-426.03</v>
      </c>
      <c r="AB29" s="26"/>
      <c r="AC29" s="26"/>
    </row>
    <row r="30" spans="1:29" s="1" customFormat="1" ht="24" customHeight="1">
      <c r="A30" s="23" t="s">
        <v>63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65</v>
      </c>
      <c r="Q30" s="24"/>
      <c r="R30" s="24"/>
      <c r="S30" s="25">
        <v>0</v>
      </c>
      <c r="T30" s="25"/>
      <c r="U30" s="25"/>
      <c r="V30" s="25">
        <v>8.59</v>
      </c>
      <c r="W30" s="25"/>
      <c r="X30" s="25"/>
      <c r="Y30" s="25"/>
      <c r="Z30" s="25"/>
      <c r="AA30" s="26">
        <f t="shared" si="1"/>
        <v>-8.59</v>
      </c>
      <c r="AB30" s="26"/>
      <c r="AC30" s="26"/>
    </row>
    <row r="31" spans="1:29" s="1" customFormat="1" ht="45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67</v>
      </c>
      <c r="Q31" s="24"/>
      <c r="R31" s="24"/>
      <c r="S31" s="25">
        <f>32000</f>
        <v>32000</v>
      </c>
      <c r="T31" s="25"/>
      <c r="U31" s="25"/>
      <c r="V31" s="25">
        <v>0</v>
      </c>
      <c r="W31" s="25"/>
      <c r="X31" s="25"/>
      <c r="Y31" s="25"/>
      <c r="Z31" s="25"/>
      <c r="AA31" s="26">
        <f t="shared" si="1"/>
        <v>32000</v>
      </c>
      <c r="AB31" s="26"/>
      <c r="AC31" s="26"/>
    </row>
    <row r="32" spans="1:29" s="1" customFormat="1" ht="45" customHeight="1">
      <c r="A32" s="23" t="s">
        <v>66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68</v>
      </c>
      <c r="Q32" s="24"/>
      <c r="R32" s="24"/>
      <c r="S32" s="25">
        <v>0</v>
      </c>
      <c r="T32" s="25"/>
      <c r="U32" s="25"/>
      <c r="V32" s="25">
        <v>10430</v>
      </c>
      <c r="W32" s="25"/>
      <c r="X32" s="25"/>
      <c r="Y32" s="25"/>
      <c r="Z32" s="25"/>
      <c r="AA32" s="26">
        <f t="shared" si="1"/>
        <v>-10430</v>
      </c>
      <c r="AB32" s="26"/>
      <c r="AC32" s="26"/>
    </row>
    <row r="33" spans="1:29" s="1" customFormat="1" ht="24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70</v>
      </c>
      <c r="Q33" s="24"/>
      <c r="R33" s="24"/>
      <c r="S33" s="25">
        <f>240000</f>
        <v>240000</v>
      </c>
      <c r="T33" s="25"/>
      <c r="U33" s="25"/>
      <c r="V33" s="25">
        <f>92643.65</f>
        <v>92643.65</v>
      </c>
      <c r="W33" s="25"/>
      <c r="X33" s="25"/>
      <c r="Y33" s="25"/>
      <c r="Z33" s="25"/>
      <c r="AA33" s="26">
        <f t="shared" si="1"/>
        <v>147356.35</v>
      </c>
      <c r="AB33" s="26"/>
      <c r="AC33" s="26"/>
    </row>
    <row r="34" spans="1:29" s="1" customFormat="1" ht="45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72</v>
      </c>
      <c r="Q34" s="24"/>
      <c r="R34" s="24"/>
      <c r="S34" s="25">
        <f>80000</f>
        <v>80000</v>
      </c>
      <c r="T34" s="25"/>
      <c r="U34" s="25"/>
      <c r="V34" s="25">
        <f>76841.09</f>
        <v>76841.09</v>
      </c>
      <c r="W34" s="25"/>
      <c r="X34" s="25"/>
      <c r="Y34" s="25"/>
      <c r="Z34" s="25"/>
      <c r="AA34" s="26">
        <f t="shared" si="1"/>
        <v>3158.9100000000035</v>
      </c>
      <c r="AB34" s="26"/>
      <c r="AC34" s="26"/>
    </row>
    <row r="35" spans="1:29" s="1" customFormat="1" ht="13.5" customHeight="1">
      <c r="A35" s="23" t="s">
        <v>73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74</v>
      </c>
      <c r="Q35" s="24"/>
      <c r="R35" s="24"/>
      <c r="S35" s="25">
        <f>68169.31</f>
        <v>68169.31</v>
      </c>
      <c r="T35" s="25"/>
      <c r="U35" s="25"/>
      <c r="V35" s="25">
        <f>68169.31</f>
        <v>68169.31</v>
      </c>
      <c r="W35" s="25"/>
      <c r="X35" s="25"/>
      <c r="Y35" s="25"/>
      <c r="Z35" s="25"/>
      <c r="AA35" s="26">
        <f t="shared" si="1"/>
        <v>0</v>
      </c>
      <c r="AB35" s="26"/>
      <c r="AC35" s="26"/>
    </row>
    <row r="36" spans="1:29" s="1" customFormat="1" ht="13.5" customHeight="1">
      <c r="A36" s="23" t="s">
        <v>75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76</v>
      </c>
      <c r="Q36" s="24"/>
      <c r="R36" s="24"/>
      <c r="S36" s="25">
        <f>2000000</f>
        <v>2000000</v>
      </c>
      <c r="T36" s="25"/>
      <c r="U36" s="25"/>
      <c r="V36" s="25">
        <v>2401919.68</v>
      </c>
      <c r="W36" s="25"/>
      <c r="X36" s="25"/>
      <c r="Y36" s="25"/>
      <c r="Z36" s="25"/>
      <c r="AA36" s="26">
        <f t="shared" si="1"/>
        <v>-401919.68000000017</v>
      </c>
      <c r="AB36" s="26"/>
      <c r="AC36" s="26"/>
    </row>
    <row r="37" spans="1:29" s="1" customFormat="1" ht="54.75" customHeight="1">
      <c r="A37" s="23" t="s">
        <v>77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78</v>
      </c>
      <c r="Q37" s="24"/>
      <c r="R37" s="24"/>
      <c r="S37" s="25">
        <f>303100</f>
        <v>303100</v>
      </c>
      <c r="T37" s="25"/>
      <c r="U37" s="25"/>
      <c r="V37" s="25">
        <f>303100</f>
        <v>303100</v>
      </c>
      <c r="W37" s="25"/>
      <c r="X37" s="25"/>
      <c r="Y37" s="25"/>
      <c r="Z37" s="25"/>
      <c r="AA37" s="26">
        <f t="shared" si="1"/>
        <v>0</v>
      </c>
      <c r="AB37" s="26"/>
      <c r="AC37" s="26"/>
    </row>
    <row r="38" spans="1:29" s="1" customFormat="1" ht="13.5" customHeight="1" hidden="1">
      <c r="A38" s="23" t="s">
        <v>79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80</v>
      </c>
      <c r="Q38" s="24"/>
      <c r="R38" s="24"/>
      <c r="S38" s="25" t="s">
        <v>40</v>
      </c>
      <c r="T38" s="25"/>
      <c r="U38" s="25"/>
      <c r="V38" s="25">
        <v>0</v>
      </c>
      <c r="W38" s="25"/>
      <c r="X38" s="25"/>
      <c r="Y38" s="25"/>
      <c r="Z38" s="25"/>
      <c r="AA38" s="26" t="e">
        <f t="shared" si="1"/>
        <v>#VALUE!</v>
      </c>
      <c r="AB38" s="26"/>
      <c r="AC38" s="26"/>
    </row>
    <row r="39" spans="1:29" s="1" customFormat="1" ht="24" customHeight="1">
      <c r="A39" s="23" t="s">
        <v>81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82</v>
      </c>
      <c r="Q39" s="24"/>
      <c r="R39" s="24"/>
      <c r="S39" s="25">
        <f>3691100</f>
        <v>3691100</v>
      </c>
      <c r="T39" s="25"/>
      <c r="U39" s="25"/>
      <c r="V39" s="25">
        <v>3002900</v>
      </c>
      <c r="W39" s="25"/>
      <c r="X39" s="25"/>
      <c r="Y39" s="25"/>
      <c r="Z39" s="25"/>
      <c r="AA39" s="26">
        <f t="shared" si="1"/>
        <v>688200</v>
      </c>
      <c r="AB39" s="26"/>
      <c r="AC39" s="26"/>
    </row>
    <row r="40" spans="1:29" s="1" customFormat="1" ht="24" customHeight="1">
      <c r="A40" s="23" t="s">
        <v>83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84</v>
      </c>
      <c r="Q40" s="24"/>
      <c r="R40" s="24"/>
      <c r="S40" s="25">
        <f>12005800</f>
        <v>12005800</v>
      </c>
      <c r="T40" s="25"/>
      <c r="U40" s="25"/>
      <c r="V40" s="25">
        <f>12005800</f>
        <v>12005800</v>
      </c>
      <c r="W40" s="25"/>
      <c r="X40" s="25"/>
      <c r="Y40" s="25"/>
      <c r="Z40" s="25"/>
      <c r="AA40" s="26">
        <f t="shared" si="1"/>
        <v>0</v>
      </c>
      <c r="AB40" s="26"/>
      <c r="AC40" s="26"/>
    </row>
    <row r="41" spans="1:29" s="1" customFormat="1" ht="24" customHeight="1">
      <c r="A41" s="23" t="s">
        <v>85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86</v>
      </c>
      <c r="Q41" s="24"/>
      <c r="R41" s="24"/>
      <c r="S41" s="25">
        <f>80000</f>
        <v>80000</v>
      </c>
      <c r="T41" s="25"/>
      <c r="U41" s="25"/>
      <c r="V41" s="25">
        <f>80000</f>
        <v>80000</v>
      </c>
      <c r="W41" s="25"/>
      <c r="X41" s="25"/>
      <c r="Y41" s="25"/>
      <c r="Z41" s="25"/>
      <c r="AA41" s="26">
        <f t="shared" si="1"/>
        <v>0</v>
      </c>
      <c r="AB41" s="26"/>
      <c r="AC41" s="26"/>
    </row>
    <row r="42" spans="1:29" s="1" customFormat="1" ht="24" customHeight="1">
      <c r="A42" s="23" t="s">
        <v>87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36</v>
      </c>
      <c r="N42" s="24"/>
      <c r="O42" s="24"/>
      <c r="P42" s="24" t="s">
        <v>88</v>
      </c>
      <c r="Q42" s="24"/>
      <c r="R42" s="24"/>
      <c r="S42" s="25">
        <f>4509607.7</f>
        <v>4509607.7</v>
      </c>
      <c r="T42" s="25"/>
      <c r="U42" s="25"/>
      <c r="V42" s="25">
        <v>4509527.97</v>
      </c>
      <c r="W42" s="25"/>
      <c r="X42" s="25"/>
      <c r="Y42" s="25"/>
      <c r="Z42" s="25"/>
      <c r="AA42" s="26">
        <f t="shared" si="1"/>
        <v>79.73000000044703</v>
      </c>
      <c r="AB42" s="26"/>
      <c r="AC42" s="26"/>
    </row>
    <row r="43" spans="1:29" s="1" customFormat="1" ht="54.75" customHeight="1" hidden="1">
      <c r="A43" s="23" t="s">
        <v>89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36</v>
      </c>
      <c r="N43" s="24"/>
      <c r="O43" s="24"/>
      <c r="P43" s="24" t="s">
        <v>90</v>
      </c>
      <c r="Q43" s="24"/>
      <c r="R43" s="24"/>
      <c r="S43" s="27" t="s">
        <v>40</v>
      </c>
      <c r="T43" s="27"/>
      <c r="U43" s="27"/>
      <c r="V43" s="25">
        <v>0</v>
      </c>
      <c r="W43" s="25"/>
      <c r="X43" s="25"/>
      <c r="Y43" s="25"/>
      <c r="Z43" s="25"/>
      <c r="AA43" s="26">
        <f>0</f>
        <v>0</v>
      </c>
      <c r="AB43" s="26"/>
      <c r="AC43" s="26"/>
    </row>
    <row r="44" spans="1:29" s="1" customFormat="1" ht="13.5" customHeight="1">
      <c r="A44" s="28" t="s">
        <v>11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s="1" customFormat="1" ht="13.5" customHeight="1">
      <c r="A45" s="12" t="s">
        <v>91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s="1" customFormat="1" ht="34.5" customHeight="1">
      <c r="A46" s="13" t="s">
        <v>23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24</v>
      </c>
      <c r="M46" s="13"/>
      <c r="N46" s="13"/>
      <c r="O46" s="13" t="s">
        <v>92</v>
      </c>
      <c r="P46" s="13"/>
      <c r="Q46" s="13"/>
      <c r="R46" s="14" t="s">
        <v>93</v>
      </c>
      <c r="S46" s="14"/>
      <c r="T46" s="14" t="s">
        <v>26</v>
      </c>
      <c r="U46" s="14"/>
      <c r="V46" s="14"/>
      <c r="W46" s="14" t="s">
        <v>27</v>
      </c>
      <c r="X46" s="14"/>
      <c r="Y46" s="14"/>
      <c r="Z46" s="14"/>
      <c r="AA46" s="14"/>
      <c r="AB46" s="15" t="s">
        <v>28</v>
      </c>
      <c r="AC46" s="15"/>
    </row>
    <row r="47" spans="1:29" s="1" customFormat="1" ht="13.5" customHeight="1">
      <c r="A47" s="16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30</v>
      </c>
      <c r="M47" s="16"/>
      <c r="N47" s="16"/>
      <c r="O47" s="16" t="s">
        <v>31</v>
      </c>
      <c r="P47" s="16"/>
      <c r="Q47" s="16"/>
      <c r="R47" s="17" t="s">
        <v>32</v>
      </c>
      <c r="S47" s="17"/>
      <c r="T47" s="17" t="s">
        <v>33</v>
      </c>
      <c r="U47" s="17"/>
      <c r="V47" s="17"/>
      <c r="W47" s="17" t="s">
        <v>34</v>
      </c>
      <c r="X47" s="17"/>
      <c r="Y47" s="17"/>
      <c r="Z47" s="17"/>
      <c r="AA47" s="17"/>
      <c r="AB47" s="18" t="s">
        <v>94</v>
      </c>
      <c r="AC47" s="18"/>
    </row>
    <row r="48" spans="1:29" s="1" customFormat="1" ht="13.5" customHeight="1">
      <c r="A48" s="19" t="s">
        <v>95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96</v>
      </c>
      <c r="M48" s="20"/>
      <c r="N48" s="20"/>
      <c r="O48" s="20" t="s">
        <v>37</v>
      </c>
      <c r="P48" s="20"/>
      <c r="Q48" s="20"/>
      <c r="R48" s="32" t="s">
        <v>37</v>
      </c>
      <c r="S48" s="32"/>
      <c r="T48" s="21">
        <f>36319555.28</f>
        <v>36319555.28</v>
      </c>
      <c r="U48" s="21"/>
      <c r="V48" s="21"/>
      <c r="W48" s="21">
        <f>SUM(W49:AA113)</f>
        <v>29896820.799999997</v>
      </c>
      <c r="X48" s="21"/>
      <c r="Y48" s="21"/>
      <c r="Z48" s="21"/>
      <c r="AA48" s="21"/>
      <c r="AB48" s="22">
        <f>T48-W48</f>
        <v>6422734.480000004</v>
      </c>
      <c r="AC48" s="22"/>
    </row>
    <row r="49" spans="1:29" s="1" customFormat="1" ht="13.5" customHeight="1">
      <c r="A49" s="34" t="s">
        <v>97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9" t="s">
        <v>96</v>
      </c>
      <c r="M49" s="29"/>
      <c r="N49" s="29"/>
      <c r="O49" s="29" t="s">
        <v>98</v>
      </c>
      <c r="P49" s="29"/>
      <c r="Q49" s="29"/>
      <c r="R49" s="30" t="s">
        <v>99</v>
      </c>
      <c r="S49" s="30"/>
      <c r="T49" s="31">
        <f>866148.86</f>
        <v>866148.86</v>
      </c>
      <c r="U49" s="31"/>
      <c r="V49" s="31"/>
      <c r="W49" s="31">
        <f>675059.71</f>
        <v>675059.71</v>
      </c>
      <c r="X49" s="31"/>
      <c r="Y49" s="31"/>
      <c r="Z49" s="31"/>
      <c r="AA49" s="31"/>
      <c r="AB49" s="33">
        <f>T49-W49</f>
        <v>191089.15000000002</v>
      </c>
      <c r="AC49" s="33"/>
    </row>
    <row r="50" spans="1:29" s="1" customFormat="1" ht="13.5" customHeight="1">
      <c r="A50" s="34" t="s">
        <v>100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9" t="s">
        <v>96</v>
      </c>
      <c r="M50" s="29"/>
      <c r="N50" s="29"/>
      <c r="O50" s="29" t="s">
        <v>101</v>
      </c>
      <c r="P50" s="29"/>
      <c r="Q50" s="29"/>
      <c r="R50" s="30" t="s">
        <v>102</v>
      </c>
      <c r="S50" s="30"/>
      <c r="T50" s="31">
        <f>39819.83</f>
        <v>39819.83</v>
      </c>
      <c r="U50" s="31"/>
      <c r="V50" s="31"/>
      <c r="W50" s="31">
        <f>39819.83</f>
        <v>39819.83</v>
      </c>
      <c r="X50" s="31"/>
      <c r="Y50" s="31"/>
      <c r="Z50" s="31"/>
      <c r="AA50" s="31"/>
      <c r="AB50" s="33">
        <f aca="true" t="shared" si="2" ref="AB50:AB113">T50-W50</f>
        <v>0</v>
      </c>
      <c r="AC50" s="33"/>
    </row>
    <row r="51" spans="1:29" s="1" customFormat="1" ht="13.5" customHeight="1">
      <c r="A51" s="34" t="s">
        <v>103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9" t="s">
        <v>96</v>
      </c>
      <c r="M51" s="29"/>
      <c r="N51" s="29"/>
      <c r="O51" s="29" t="s">
        <v>104</v>
      </c>
      <c r="P51" s="29"/>
      <c r="Q51" s="29"/>
      <c r="R51" s="30" t="s">
        <v>105</v>
      </c>
      <c r="S51" s="30"/>
      <c r="T51" s="31">
        <f>308000</f>
        <v>308000</v>
      </c>
      <c r="U51" s="31"/>
      <c r="V51" s="31"/>
      <c r="W51" s="31">
        <f>243186.25</f>
        <v>243186.25</v>
      </c>
      <c r="X51" s="31"/>
      <c r="Y51" s="31"/>
      <c r="Z51" s="31"/>
      <c r="AA51" s="31"/>
      <c r="AB51" s="33">
        <f t="shared" si="2"/>
        <v>64813.75</v>
      </c>
      <c r="AC51" s="33"/>
    </row>
    <row r="52" spans="1:29" s="1" customFormat="1" ht="13.5" customHeight="1">
      <c r="A52" s="34" t="s">
        <v>97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9" t="s">
        <v>96</v>
      </c>
      <c r="M52" s="29"/>
      <c r="N52" s="29"/>
      <c r="O52" s="29" t="s">
        <v>106</v>
      </c>
      <c r="P52" s="29"/>
      <c r="Q52" s="29"/>
      <c r="R52" s="30" t="s">
        <v>99</v>
      </c>
      <c r="S52" s="30"/>
      <c r="T52" s="31">
        <f>28000</f>
        <v>28000</v>
      </c>
      <c r="U52" s="31"/>
      <c r="V52" s="31"/>
      <c r="W52" s="31">
        <f>28000</f>
        <v>28000</v>
      </c>
      <c r="X52" s="31"/>
      <c r="Y52" s="31"/>
      <c r="Z52" s="31"/>
      <c r="AA52" s="31"/>
      <c r="AB52" s="33">
        <f t="shared" si="2"/>
        <v>0</v>
      </c>
      <c r="AC52" s="33"/>
    </row>
    <row r="53" spans="1:29" s="1" customFormat="1" ht="13.5" customHeight="1">
      <c r="A53" s="34" t="s">
        <v>103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9" t="s">
        <v>96</v>
      </c>
      <c r="M53" s="29"/>
      <c r="N53" s="29"/>
      <c r="O53" s="29" t="s">
        <v>107</v>
      </c>
      <c r="P53" s="29"/>
      <c r="Q53" s="29"/>
      <c r="R53" s="30" t="s">
        <v>105</v>
      </c>
      <c r="S53" s="30"/>
      <c r="T53" s="31">
        <f>12000</f>
        <v>12000</v>
      </c>
      <c r="U53" s="31"/>
      <c r="V53" s="31"/>
      <c r="W53" s="31">
        <f>12000</f>
        <v>12000</v>
      </c>
      <c r="X53" s="31"/>
      <c r="Y53" s="31"/>
      <c r="Z53" s="31"/>
      <c r="AA53" s="31"/>
      <c r="AB53" s="33">
        <f t="shared" si="2"/>
        <v>0</v>
      </c>
      <c r="AC53" s="33"/>
    </row>
    <row r="54" spans="1:29" s="1" customFormat="1" ht="13.5" customHeight="1">
      <c r="A54" s="34" t="s">
        <v>97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9" t="s">
        <v>96</v>
      </c>
      <c r="M54" s="29"/>
      <c r="N54" s="29"/>
      <c r="O54" s="29" t="s">
        <v>108</v>
      </c>
      <c r="P54" s="29"/>
      <c r="Q54" s="29"/>
      <c r="R54" s="30" t="s">
        <v>99</v>
      </c>
      <c r="S54" s="30"/>
      <c r="T54" s="31">
        <f>4741129.7</f>
        <v>4741129.7</v>
      </c>
      <c r="U54" s="31"/>
      <c r="V54" s="31"/>
      <c r="W54" s="31">
        <v>3911794.91</v>
      </c>
      <c r="X54" s="31"/>
      <c r="Y54" s="31"/>
      <c r="Z54" s="31"/>
      <c r="AA54" s="31"/>
      <c r="AB54" s="33">
        <f t="shared" si="2"/>
        <v>829334.79</v>
      </c>
      <c r="AC54" s="33"/>
    </row>
    <row r="55" spans="1:29" s="1" customFormat="1" ht="13.5" customHeight="1">
      <c r="A55" s="34" t="s">
        <v>103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9" t="s">
        <v>96</v>
      </c>
      <c r="M55" s="29"/>
      <c r="N55" s="29"/>
      <c r="O55" s="29" t="s">
        <v>109</v>
      </c>
      <c r="P55" s="29"/>
      <c r="Q55" s="29"/>
      <c r="R55" s="30" t="s">
        <v>105</v>
      </c>
      <c r="S55" s="30"/>
      <c r="T55" s="31">
        <f>1520169.31</f>
        <v>1520169.31</v>
      </c>
      <c r="U55" s="31"/>
      <c r="V55" s="31"/>
      <c r="W55" s="31">
        <v>1414402.12</v>
      </c>
      <c r="X55" s="31"/>
      <c r="Y55" s="31"/>
      <c r="Z55" s="31"/>
      <c r="AA55" s="31"/>
      <c r="AB55" s="33">
        <f t="shared" si="2"/>
        <v>105767.18999999994</v>
      </c>
      <c r="AC55" s="33"/>
    </row>
    <row r="56" spans="1:29" s="1" customFormat="1" ht="13.5" customHeight="1">
      <c r="A56" s="34" t="s">
        <v>110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9" t="s">
        <v>96</v>
      </c>
      <c r="M56" s="29"/>
      <c r="N56" s="29"/>
      <c r="O56" s="29" t="s">
        <v>111</v>
      </c>
      <c r="P56" s="29"/>
      <c r="Q56" s="29"/>
      <c r="R56" s="30" t="s">
        <v>112</v>
      </c>
      <c r="S56" s="30"/>
      <c r="T56" s="31">
        <f>50000</f>
        <v>50000</v>
      </c>
      <c r="U56" s="31"/>
      <c r="V56" s="31"/>
      <c r="W56" s="35" t="s">
        <v>40</v>
      </c>
      <c r="X56" s="35"/>
      <c r="Y56" s="35"/>
      <c r="Z56" s="35"/>
      <c r="AA56" s="35"/>
      <c r="AB56" s="33">
        <v>50000</v>
      </c>
      <c r="AC56" s="33"/>
    </row>
    <row r="57" spans="1:29" s="1" customFormat="1" ht="13.5" customHeight="1">
      <c r="A57" s="34" t="s">
        <v>97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9" t="s">
        <v>96</v>
      </c>
      <c r="M57" s="29"/>
      <c r="N57" s="29"/>
      <c r="O57" s="29" t="s">
        <v>113</v>
      </c>
      <c r="P57" s="29"/>
      <c r="Q57" s="29"/>
      <c r="R57" s="30" t="s">
        <v>99</v>
      </c>
      <c r="S57" s="30"/>
      <c r="T57" s="31">
        <f>3788074.3</f>
        <v>3788074.3</v>
      </c>
      <c r="U57" s="31"/>
      <c r="V57" s="31"/>
      <c r="W57" s="31">
        <v>3381359.42</v>
      </c>
      <c r="X57" s="31"/>
      <c r="Y57" s="31"/>
      <c r="Z57" s="31"/>
      <c r="AA57" s="31"/>
      <c r="AB57" s="33">
        <f t="shared" si="2"/>
        <v>406714.8799999999</v>
      </c>
      <c r="AC57" s="33"/>
    </row>
    <row r="58" spans="1:29" s="1" customFormat="1" ht="13.5" customHeight="1">
      <c r="A58" s="34" t="s">
        <v>100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9" t="s">
        <v>96</v>
      </c>
      <c r="M58" s="29"/>
      <c r="N58" s="29"/>
      <c r="O58" s="29" t="s">
        <v>114</v>
      </c>
      <c r="P58" s="29"/>
      <c r="Q58" s="29"/>
      <c r="R58" s="30" t="s">
        <v>102</v>
      </c>
      <c r="S58" s="30"/>
      <c r="T58" s="31">
        <f>63010.2</f>
        <v>63010.2</v>
      </c>
      <c r="U58" s="31"/>
      <c r="V58" s="31"/>
      <c r="W58" s="31">
        <f>63010.2</f>
        <v>63010.2</v>
      </c>
      <c r="X58" s="31"/>
      <c r="Y58" s="31"/>
      <c r="Z58" s="31"/>
      <c r="AA58" s="31"/>
      <c r="AB58" s="33">
        <f t="shared" si="2"/>
        <v>0</v>
      </c>
      <c r="AC58" s="33"/>
    </row>
    <row r="59" spans="1:29" s="1" customFormat="1" ht="13.5" customHeight="1">
      <c r="A59" s="34" t="s">
        <v>103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9" t="s">
        <v>96</v>
      </c>
      <c r="M59" s="29"/>
      <c r="N59" s="29"/>
      <c r="O59" s="29" t="s">
        <v>115</v>
      </c>
      <c r="P59" s="29"/>
      <c r="Q59" s="29"/>
      <c r="R59" s="30" t="s">
        <v>105</v>
      </c>
      <c r="S59" s="30"/>
      <c r="T59" s="31">
        <f>1216778.27</f>
        <v>1216778.27</v>
      </c>
      <c r="U59" s="31"/>
      <c r="V59" s="31"/>
      <c r="W59" s="31">
        <v>929642.7</v>
      </c>
      <c r="X59" s="31"/>
      <c r="Y59" s="31"/>
      <c r="Z59" s="31"/>
      <c r="AA59" s="31"/>
      <c r="AB59" s="33">
        <f t="shared" si="2"/>
        <v>287135.57000000007</v>
      </c>
      <c r="AC59" s="33"/>
    </row>
    <row r="60" spans="1:29" s="1" customFormat="1" ht="13.5" customHeight="1">
      <c r="A60" s="34" t="s">
        <v>116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9" t="s">
        <v>96</v>
      </c>
      <c r="M60" s="29"/>
      <c r="N60" s="29"/>
      <c r="O60" s="29" t="s">
        <v>117</v>
      </c>
      <c r="P60" s="29"/>
      <c r="Q60" s="29"/>
      <c r="R60" s="30" t="s">
        <v>118</v>
      </c>
      <c r="S60" s="30"/>
      <c r="T60" s="31">
        <f>230000</f>
        <v>230000</v>
      </c>
      <c r="U60" s="31"/>
      <c r="V60" s="31"/>
      <c r="W60" s="31">
        <f>164076.67</f>
        <v>164076.67</v>
      </c>
      <c r="X60" s="31"/>
      <c r="Y60" s="31"/>
      <c r="Z60" s="31"/>
      <c r="AA60" s="31"/>
      <c r="AB60" s="33">
        <f t="shared" si="2"/>
        <v>65923.32999999999</v>
      </c>
      <c r="AC60" s="33"/>
    </row>
    <row r="61" spans="1:29" s="1" customFormat="1" ht="13.5" customHeight="1">
      <c r="A61" s="34" t="s">
        <v>119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29" t="s">
        <v>96</v>
      </c>
      <c r="M61" s="29"/>
      <c r="N61" s="29"/>
      <c r="O61" s="36">
        <v>6.50011350200006E+19</v>
      </c>
      <c r="P61" s="29"/>
      <c r="Q61" s="29"/>
      <c r="R61" s="30" t="s">
        <v>120</v>
      </c>
      <c r="S61" s="30"/>
      <c r="T61" s="31">
        <f>90000</f>
        <v>90000</v>
      </c>
      <c r="U61" s="31"/>
      <c r="V61" s="31"/>
      <c r="W61" s="31">
        <f>74200</f>
        <v>74200</v>
      </c>
      <c r="X61" s="31"/>
      <c r="Y61" s="31"/>
      <c r="Z61" s="31"/>
      <c r="AA61" s="31"/>
      <c r="AB61" s="33">
        <f t="shared" si="2"/>
        <v>15800</v>
      </c>
      <c r="AC61" s="33"/>
    </row>
    <row r="62" spans="1:29" s="1" customFormat="1" ht="13.5" customHeight="1">
      <c r="A62" s="34" t="s">
        <v>121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29" t="s">
        <v>96</v>
      </c>
      <c r="M62" s="29"/>
      <c r="N62" s="29"/>
      <c r="O62" s="29" t="s">
        <v>117</v>
      </c>
      <c r="P62" s="29"/>
      <c r="Q62" s="29"/>
      <c r="R62" s="30" t="s">
        <v>122</v>
      </c>
      <c r="S62" s="30"/>
      <c r="T62" s="31">
        <f>350000</f>
        <v>350000</v>
      </c>
      <c r="U62" s="31"/>
      <c r="V62" s="31"/>
      <c r="W62" s="31">
        <f>260140.07</f>
        <v>260140.07</v>
      </c>
      <c r="X62" s="31"/>
      <c r="Y62" s="31"/>
      <c r="Z62" s="31"/>
      <c r="AA62" s="31"/>
      <c r="AB62" s="33">
        <f t="shared" si="2"/>
        <v>89859.93</v>
      </c>
      <c r="AC62" s="33"/>
    </row>
    <row r="63" spans="1:29" s="1" customFormat="1" ht="13.5" customHeight="1">
      <c r="A63" s="34" t="s">
        <v>123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29" t="s">
        <v>96</v>
      </c>
      <c r="M63" s="29"/>
      <c r="N63" s="29"/>
      <c r="O63" s="29" t="s">
        <v>117</v>
      </c>
      <c r="P63" s="29"/>
      <c r="Q63" s="29"/>
      <c r="R63" s="30" t="s">
        <v>124</v>
      </c>
      <c r="S63" s="30"/>
      <c r="T63" s="31">
        <f>120000</f>
        <v>120000</v>
      </c>
      <c r="U63" s="31"/>
      <c r="V63" s="31"/>
      <c r="W63" s="31">
        <f>58998</f>
        <v>58998</v>
      </c>
      <c r="X63" s="31"/>
      <c r="Y63" s="31"/>
      <c r="Z63" s="31"/>
      <c r="AA63" s="31"/>
      <c r="AB63" s="33">
        <f t="shared" si="2"/>
        <v>61002</v>
      </c>
      <c r="AC63" s="33"/>
    </row>
    <row r="64" spans="1:29" s="1" customFormat="1" ht="13.5" customHeight="1">
      <c r="A64" s="34" t="s">
        <v>125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29" t="s">
        <v>96</v>
      </c>
      <c r="M64" s="29"/>
      <c r="N64" s="29"/>
      <c r="O64" s="29" t="s">
        <v>117</v>
      </c>
      <c r="P64" s="29"/>
      <c r="Q64" s="29"/>
      <c r="R64" s="30" t="s">
        <v>126</v>
      </c>
      <c r="S64" s="30"/>
      <c r="T64" s="31">
        <f>56700</f>
        <v>56700</v>
      </c>
      <c r="U64" s="31"/>
      <c r="V64" s="31"/>
      <c r="W64" s="31">
        <f>56700</f>
        <v>56700</v>
      </c>
      <c r="X64" s="31"/>
      <c r="Y64" s="31"/>
      <c r="Z64" s="31"/>
      <c r="AA64" s="31"/>
      <c r="AB64" s="33">
        <f t="shared" si="2"/>
        <v>0</v>
      </c>
      <c r="AC64" s="33"/>
    </row>
    <row r="65" spans="1:29" s="1" customFormat="1" ht="13.5" customHeight="1">
      <c r="A65" s="34" t="s">
        <v>116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9" t="s">
        <v>96</v>
      </c>
      <c r="M65" s="29"/>
      <c r="N65" s="29"/>
      <c r="O65" s="29" t="s">
        <v>127</v>
      </c>
      <c r="P65" s="29"/>
      <c r="Q65" s="29"/>
      <c r="R65" s="30" t="s">
        <v>118</v>
      </c>
      <c r="S65" s="30"/>
      <c r="T65" s="31">
        <f>10000</f>
        <v>10000</v>
      </c>
      <c r="U65" s="31"/>
      <c r="V65" s="31"/>
      <c r="W65" s="31">
        <f>10000</f>
        <v>10000</v>
      </c>
      <c r="X65" s="31"/>
      <c r="Y65" s="31"/>
      <c r="Z65" s="31"/>
      <c r="AA65" s="31"/>
      <c r="AB65" s="33">
        <f t="shared" si="2"/>
        <v>0</v>
      </c>
      <c r="AC65" s="33"/>
    </row>
    <row r="66" spans="1:29" s="1" customFormat="1" ht="13.5" customHeight="1">
      <c r="A66" s="34" t="s">
        <v>128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29" t="s">
        <v>96</v>
      </c>
      <c r="M66" s="29"/>
      <c r="N66" s="29"/>
      <c r="O66" s="29" t="s">
        <v>127</v>
      </c>
      <c r="P66" s="29"/>
      <c r="Q66" s="29"/>
      <c r="R66" s="30" t="s">
        <v>129</v>
      </c>
      <c r="S66" s="30"/>
      <c r="T66" s="31">
        <f>152500</f>
        <v>152500</v>
      </c>
      <c r="U66" s="31"/>
      <c r="V66" s="31"/>
      <c r="W66" s="31">
        <f>78512.97</f>
        <v>78512.97</v>
      </c>
      <c r="X66" s="31"/>
      <c r="Y66" s="31"/>
      <c r="Z66" s="31"/>
      <c r="AA66" s="31"/>
      <c r="AB66" s="33">
        <f t="shared" si="2"/>
        <v>73987.03</v>
      </c>
      <c r="AC66" s="33"/>
    </row>
    <row r="67" spans="1:29" s="1" customFormat="1" ht="13.5" customHeight="1">
      <c r="A67" s="34" t="s">
        <v>119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29" t="s">
        <v>96</v>
      </c>
      <c r="M67" s="29"/>
      <c r="N67" s="29"/>
      <c r="O67" s="29" t="s">
        <v>127</v>
      </c>
      <c r="P67" s="29"/>
      <c r="Q67" s="29"/>
      <c r="R67" s="30" t="s">
        <v>120</v>
      </c>
      <c r="S67" s="30"/>
      <c r="T67" s="31">
        <f>177000</f>
        <v>177000</v>
      </c>
      <c r="U67" s="31"/>
      <c r="V67" s="31"/>
      <c r="W67" s="31">
        <f>127819.07</f>
        <v>127819.07</v>
      </c>
      <c r="X67" s="31"/>
      <c r="Y67" s="31"/>
      <c r="Z67" s="31"/>
      <c r="AA67" s="31"/>
      <c r="AB67" s="33">
        <f t="shared" si="2"/>
        <v>49180.92999999999</v>
      </c>
      <c r="AC67" s="33"/>
    </row>
    <row r="68" spans="1:29" s="1" customFormat="1" ht="13.5" customHeight="1">
      <c r="A68" s="34" t="s">
        <v>121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29" t="s">
        <v>96</v>
      </c>
      <c r="M68" s="29"/>
      <c r="N68" s="29"/>
      <c r="O68" s="29" t="s">
        <v>127</v>
      </c>
      <c r="P68" s="29"/>
      <c r="Q68" s="29"/>
      <c r="R68" s="30" t="s">
        <v>122</v>
      </c>
      <c r="S68" s="30"/>
      <c r="T68" s="31">
        <f>187894</f>
        <v>187894</v>
      </c>
      <c r="U68" s="31"/>
      <c r="V68" s="31"/>
      <c r="W68" s="31">
        <f>136915.61</f>
        <v>136915.61</v>
      </c>
      <c r="X68" s="31"/>
      <c r="Y68" s="31"/>
      <c r="Z68" s="31"/>
      <c r="AA68" s="31"/>
      <c r="AB68" s="33">
        <f t="shared" si="2"/>
        <v>50978.390000000014</v>
      </c>
      <c r="AC68" s="33"/>
    </row>
    <row r="69" spans="1:29" s="1" customFormat="1" ht="13.5" customHeight="1">
      <c r="A69" s="34" t="s">
        <v>110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29" t="s">
        <v>96</v>
      </c>
      <c r="M69" s="29"/>
      <c r="N69" s="29"/>
      <c r="O69" s="29" t="s">
        <v>127</v>
      </c>
      <c r="P69" s="29"/>
      <c r="Q69" s="29"/>
      <c r="R69" s="30" t="s">
        <v>112</v>
      </c>
      <c r="S69" s="30"/>
      <c r="T69" s="31">
        <f>30000</f>
        <v>30000</v>
      </c>
      <c r="U69" s="31"/>
      <c r="V69" s="31"/>
      <c r="W69" s="31">
        <f>20000</f>
        <v>20000</v>
      </c>
      <c r="X69" s="31"/>
      <c r="Y69" s="31"/>
      <c r="Z69" s="31"/>
      <c r="AA69" s="31"/>
      <c r="AB69" s="33">
        <f t="shared" si="2"/>
        <v>10000</v>
      </c>
      <c r="AC69" s="33"/>
    </row>
    <row r="70" spans="1:29" s="1" customFormat="1" ht="13.5" customHeight="1">
      <c r="A70" s="34" t="s">
        <v>123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29" t="s">
        <v>96</v>
      </c>
      <c r="M70" s="29"/>
      <c r="N70" s="29"/>
      <c r="O70" s="29" t="s">
        <v>127</v>
      </c>
      <c r="P70" s="29"/>
      <c r="Q70" s="29"/>
      <c r="R70" s="30" t="s">
        <v>124</v>
      </c>
      <c r="S70" s="30"/>
      <c r="T70" s="31">
        <f>145406</f>
        <v>145406</v>
      </c>
      <c r="U70" s="31"/>
      <c r="V70" s="31"/>
      <c r="W70" s="31">
        <f>145406</f>
        <v>145406</v>
      </c>
      <c r="X70" s="31"/>
      <c r="Y70" s="31"/>
      <c r="Z70" s="31"/>
      <c r="AA70" s="31"/>
      <c r="AB70" s="33">
        <f t="shared" si="2"/>
        <v>0</v>
      </c>
      <c r="AC70" s="33"/>
    </row>
    <row r="71" spans="1:29" s="1" customFormat="1" ht="13.5" customHeight="1">
      <c r="A71" s="34" t="s">
        <v>125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29" t="s">
        <v>96</v>
      </c>
      <c r="M71" s="29"/>
      <c r="N71" s="29"/>
      <c r="O71" s="29" t="s">
        <v>127</v>
      </c>
      <c r="P71" s="29"/>
      <c r="Q71" s="29"/>
      <c r="R71" s="30" t="s">
        <v>126</v>
      </c>
      <c r="S71" s="30"/>
      <c r="T71" s="31">
        <f>980100</f>
        <v>980100</v>
      </c>
      <c r="U71" s="31"/>
      <c r="V71" s="31"/>
      <c r="W71" s="31">
        <v>713814.94</v>
      </c>
      <c r="X71" s="31"/>
      <c r="Y71" s="31"/>
      <c r="Z71" s="31"/>
      <c r="AA71" s="31"/>
      <c r="AB71" s="33">
        <f t="shared" si="2"/>
        <v>266285.06000000006</v>
      </c>
      <c r="AC71" s="33"/>
    </row>
    <row r="72" spans="1:29" s="1" customFormat="1" ht="13.5" customHeight="1">
      <c r="A72" s="34" t="s">
        <v>110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29" t="s">
        <v>96</v>
      </c>
      <c r="M72" s="29"/>
      <c r="N72" s="29"/>
      <c r="O72" s="29" t="s">
        <v>130</v>
      </c>
      <c r="P72" s="29"/>
      <c r="Q72" s="29"/>
      <c r="R72" s="30" t="s">
        <v>112</v>
      </c>
      <c r="S72" s="30"/>
      <c r="T72" s="31">
        <f>3441.7</f>
        <v>3441.7</v>
      </c>
      <c r="U72" s="31"/>
      <c r="V72" s="31"/>
      <c r="W72" s="35" t="s">
        <v>40</v>
      </c>
      <c r="X72" s="35"/>
      <c r="Y72" s="35"/>
      <c r="Z72" s="35"/>
      <c r="AA72" s="35"/>
      <c r="AB72" s="33">
        <v>3441.7</v>
      </c>
      <c r="AC72" s="33"/>
    </row>
    <row r="73" spans="1:29" s="1" customFormat="1" ht="13.5" customHeight="1">
      <c r="A73" s="34" t="s">
        <v>110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29" t="s">
        <v>96</v>
      </c>
      <c r="M73" s="29"/>
      <c r="N73" s="29"/>
      <c r="O73" s="29" t="s">
        <v>131</v>
      </c>
      <c r="P73" s="29"/>
      <c r="Q73" s="29"/>
      <c r="R73" s="30" t="s">
        <v>112</v>
      </c>
      <c r="S73" s="30"/>
      <c r="T73" s="31">
        <f>12558.3</f>
        <v>12558.3</v>
      </c>
      <c r="U73" s="31"/>
      <c r="V73" s="31"/>
      <c r="W73" s="31">
        <f>7828.35</f>
        <v>7828.35</v>
      </c>
      <c r="X73" s="31"/>
      <c r="Y73" s="31"/>
      <c r="Z73" s="31"/>
      <c r="AA73" s="31"/>
      <c r="AB73" s="33">
        <f t="shared" si="2"/>
        <v>4729.949999999999</v>
      </c>
      <c r="AC73" s="33"/>
    </row>
    <row r="74" spans="1:29" s="1" customFormat="1" ht="13.5" customHeight="1">
      <c r="A74" s="34" t="s">
        <v>121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29" t="s">
        <v>96</v>
      </c>
      <c r="M74" s="29"/>
      <c r="N74" s="29"/>
      <c r="O74" s="29" t="s">
        <v>132</v>
      </c>
      <c r="P74" s="29"/>
      <c r="Q74" s="29"/>
      <c r="R74" s="30" t="s">
        <v>122</v>
      </c>
      <c r="S74" s="30"/>
      <c r="T74" s="31">
        <f>250000</f>
        <v>250000</v>
      </c>
      <c r="U74" s="31"/>
      <c r="V74" s="31"/>
      <c r="W74" s="31">
        <f>249900.28</f>
        <v>249900.28</v>
      </c>
      <c r="X74" s="31"/>
      <c r="Y74" s="31"/>
      <c r="Z74" s="31"/>
      <c r="AA74" s="31"/>
      <c r="AB74" s="33">
        <f t="shared" si="2"/>
        <v>99.72000000000116</v>
      </c>
      <c r="AC74" s="33"/>
    </row>
    <row r="75" spans="1:29" s="1" customFormat="1" ht="13.5" customHeight="1">
      <c r="A75" s="34" t="s">
        <v>110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29" t="s">
        <v>96</v>
      </c>
      <c r="M75" s="29"/>
      <c r="N75" s="29"/>
      <c r="O75" s="29" t="s">
        <v>132</v>
      </c>
      <c r="P75" s="29"/>
      <c r="Q75" s="29"/>
      <c r="R75" s="30" t="s">
        <v>112</v>
      </c>
      <c r="S75" s="30"/>
      <c r="T75" s="31">
        <f>19200</f>
        <v>19200</v>
      </c>
      <c r="U75" s="31"/>
      <c r="V75" s="31"/>
      <c r="W75" s="31">
        <f>19200</f>
        <v>19200</v>
      </c>
      <c r="X75" s="31"/>
      <c r="Y75" s="31"/>
      <c r="Z75" s="31"/>
      <c r="AA75" s="31"/>
      <c r="AB75" s="33">
        <f t="shared" si="2"/>
        <v>0</v>
      </c>
      <c r="AC75" s="33"/>
    </row>
    <row r="76" spans="1:29" s="1" customFormat="1" ht="13.5" customHeight="1">
      <c r="A76" s="34" t="s">
        <v>110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29" t="s">
        <v>96</v>
      </c>
      <c r="M76" s="29"/>
      <c r="N76" s="29"/>
      <c r="O76" s="29" t="s">
        <v>133</v>
      </c>
      <c r="P76" s="29"/>
      <c r="Q76" s="29"/>
      <c r="R76" s="30" t="s">
        <v>112</v>
      </c>
      <c r="S76" s="30"/>
      <c r="T76" s="31">
        <f>15000</f>
        <v>15000</v>
      </c>
      <c r="U76" s="31"/>
      <c r="V76" s="31"/>
      <c r="W76" s="31">
        <f>15000</f>
        <v>15000</v>
      </c>
      <c r="X76" s="31"/>
      <c r="Y76" s="31"/>
      <c r="Z76" s="31"/>
      <c r="AA76" s="31"/>
      <c r="AB76" s="33">
        <f t="shared" si="2"/>
        <v>0</v>
      </c>
      <c r="AC76" s="33"/>
    </row>
    <row r="77" spans="1:29" s="1" customFormat="1" ht="13.5" customHeight="1">
      <c r="A77" s="34" t="s">
        <v>100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29" t="s">
        <v>96</v>
      </c>
      <c r="M77" s="29"/>
      <c r="N77" s="29"/>
      <c r="O77" s="29" t="s">
        <v>134</v>
      </c>
      <c r="P77" s="29"/>
      <c r="Q77" s="29"/>
      <c r="R77" s="30" t="s">
        <v>102</v>
      </c>
      <c r="S77" s="30"/>
      <c r="T77" s="31">
        <f>165259.33</f>
        <v>165259.33</v>
      </c>
      <c r="U77" s="31"/>
      <c r="V77" s="31"/>
      <c r="W77" s="31">
        <f>155259.33</f>
        <v>155259.33</v>
      </c>
      <c r="X77" s="31"/>
      <c r="Y77" s="31"/>
      <c r="Z77" s="31"/>
      <c r="AA77" s="31"/>
      <c r="AB77" s="33">
        <f t="shared" si="2"/>
        <v>10000</v>
      </c>
      <c r="AC77" s="33"/>
    </row>
    <row r="78" spans="1:29" s="1" customFormat="1" ht="13.5" customHeight="1">
      <c r="A78" s="34" t="s">
        <v>135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29" t="s">
        <v>96</v>
      </c>
      <c r="M78" s="29"/>
      <c r="N78" s="29"/>
      <c r="O78" s="29" t="s">
        <v>136</v>
      </c>
      <c r="P78" s="29"/>
      <c r="Q78" s="29"/>
      <c r="R78" s="30" t="s">
        <v>137</v>
      </c>
      <c r="S78" s="30"/>
      <c r="T78" s="31">
        <f>68721.03</f>
        <v>68721.03</v>
      </c>
      <c r="U78" s="31"/>
      <c r="V78" s="31"/>
      <c r="W78" s="31">
        <f>47856.43</f>
        <v>47856.43</v>
      </c>
      <c r="X78" s="31"/>
      <c r="Y78" s="31"/>
      <c r="Z78" s="31"/>
      <c r="AA78" s="31"/>
      <c r="AB78" s="33">
        <f t="shared" si="2"/>
        <v>20864.6</v>
      </c>
      <c r="AC78" s="33"/>
    </row>
    <row r="79" spans="1:29" s="1" customFormat="1" ht="13.5" customHeight="1">
      <c r="A79" s="34" t="s">
        <v>121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29" t="s">
        <v>96</v>
      </c>
      <c r="M79" s="29"/>
      <c r="N79" s="29"/>
      <c r="O79" s="29" t="s">
        <v>136</v>
      </c>
      <c r="P79" s="29"/>
      <c r="Q79" s="29"/>
      <c r="R79" s="30" t="s">
        <v>122</v>
      </c>
      <c r="S79" s="30"/>
      <c r="T79" s="31">
        <f>67122</f>
        <v>67122</v>
      </c>
      <c r="U79" s="31"/>
      <c r="V79" s="31"/>
      <c r="W79" s="31">
        <f>57122</f>
        <v>57122</v>
      </c>
      <c r="X79" s="31"/>
      <c r="Y79" s="31"/>
      <c r="Z79" s="31"/>
      <c r="AA79" s="31"/>
      <c r="AB79" s="33">
        <f t="shared" si="2"/>
        <v>10000</v>
      </c>
      <c r="AC79" s="33"/>
    </row>
    <row r="80" spans="1:29" s="1" customFormat="1" ht="13.5" customHeight="1">
      <c r="A80" s="34" t="s">
        <v>110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29" t="s">
        <v>96</v>
      </c>
      <c r="M80" s="29"/>
      <c r="N80" s="29"/>
      <c r="O80" s="29" t="s">
        <v>138</v>
      </c>
      <c r="P80" s="29"/>
      <c r="Q80" s="29"/>
      <c r="R80" s="30" t="s">
        <v>112</v>
      </c>
      <c r="S80" s="30"/>
      <c r="T80" s="31">
        <f>61200</f>
        <v>61200</v>
      </c>
      <c r="U80" s="31"/>
      <c r="V80" s="31"/>
      <c r="W80" s="31">
        <f>31329</f>
        <v>31329</v>
      </c>
      <c r="X80" s="31"/>
      <c r="Y80" s="31"/>
      <c r="Z80" s="31"/>
      <c r="AA80" s="31"/>
      <c r="AB80" s="33">
        <f t="shared" si="2"/>
        <v>29871</v>
      </c>
      <c r="AC80" s="33"/>
    </row>
    <row r="81" spans="1:29" s="1" customFormat="1" ht="13.5" customHeight="1">
      <c r="A81" s="34" t="s">
        <v>110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29" t="s">
        <v>96</v>
      </c>
      <c r="M81" s="29"/>
      <c r="N81" s="29"/>
      <c r="O81" s="29" t="s">
        <v>139</v>
      </c>
      <c r="P81" s="29"/>
      <c r="Q81" s="29"/>
      <c r="R81" s="30" t="s">
        <v>112</v>
      </c>
      <c r="S81" s="30"/>
      <c r="T81" s="31">
        <f>30000</f>
        <v>30000</v>
      </c>
      <c r="U81" s="31"/>
      <c r="V81" s="31"/>
      <c r="W81" s="31">
        <f>10317</f>
        <v>10317</v>
      </c>
      <c r="X81" s="31"/>
      <c r="Y81" s="31"/>
      <c r="Z81" s="31"/>
      <c r="AA81" s="31"/>
      <c r="AB81" s="33">
        <f t="shared" si="2"/>
        <v>19683</v>
      </c>
      <c r="AC81" s="33"/>
    </row>
    <row r="82" spans="1:29" s="1" customFormat="1" ht="13.5" customHeight="1">
      <c r="A82" s="34" t="s">
        <v>110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29" t="s">
        <v>96</v>
      </c>
      <c r="M82" s="29"/>
      <c r="N82" s="29"/>
      <c r="O82" s="29" t="s">
        <v>140</v>
      </c>
      <c r="P82" s="29"/>
      <c r="Q82" s="29"/>
      <c r="R82" s="30" t="s">
        <v>112</v>
      </c>
      <c r="S82" s="30"/>
      <c r="T82" s="31">
        <f>15000</f>
        <v>15000</v>
      </c>
      <c r="U82" s="31"/>
      <c r="V82" s="31"/>
      <c r="W82" s="31">
        <f>1439.3</f>
        <v>1439.3</v>
      </c>
      <c r="X82" s="31"/>
      <c r="Y82" s="31"/>
      <c r="Z82" s="31"/>
      <c r="AA82" s="31"/>
      <c r="AB82" s="33">
        <f t="shared" si="2"/>
        <v>13560.7</v>
      </c>
      <c r="AC82" s="33"/>
    </row>
    <row r="83" spans="1:29" s="1" customFormat="1" ht="13.5" customHeight="1">
      <c r="A83" s="34" t="s">
        <v>97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29" t="s">
        <v>96</v>
      </c>
      <c r="M83" s="29"/>
      <c r="N83" s="29"/>
      <c r="O83" s="29" t="s">
        <v>141</v>
      </c>
      <c r="P83" s="29"/>
      <c r="Q83" s="29"/>
      <c r="R83" s="30" t="s">
        <v>99</v>
      </c>
      <c r="S83" s="30"/>
      <c r="T83" s="31">
        <f>61000</f>
        <v>61000</v>
      </c>
      <c r="U83" s="31"/>
      <c r="V83" s="31"/>
      <c r="W83" s="31">
        <f>42475.7</f>
        <v>42475.7</v>
      </c>
      <c r="X83" s="31"/>
      <c r="Y83" s="31"/>
      <c r="Z83" s="31"/>
      <c r="AA83" s="31"/>
      <c r="AB83" s="33">
        <f t="shared" si="2"/>
        <v>18524.300000000003</v>
      </c>
      <c r="AC83" s="33"/>
    </row>
    <row r="84" spans="1:29" s="1" customFormat="1" ht="13.5" customHeight="1">
      <c r="A84" s="34" t="s">
        <v>103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29" t="s">
        <v>96</v>
      </c>
      <c r="M84" s="29"/>
      <c r="N84" s="29"/>
      <c r="O84" s="29" t="s">
        <v>142</v>
      </c>
      <c r="P84" s="29"/>
      <c r="Q84" s="29"/>
      <c r="R84" s="30" t="s">
        <v>105</v>
      </c>
      <c r="S84" s="30"/>
      <c r="T84" s="31">
        <f>19000</f>
        <v>19000</v>
      </c>
      <c r="U84" s="31"/>
      <c r="V84" s="31"/>
      <c r="W84" s="31">
        <f>11174.79</f>
        <v>11174.79</v>
      </c>
      <c r="X84" s="31"/>
      <c r="Y84" s="31"/>
      <c r="Z84" s="31"/>
      <c r="AA84" s="31"/>
      <c r="AB84" s="33">
        <f t="shared" si="2"/>
        <v>7825.209999999999</v>
      </c>
      <c r="AC84" s="33"/>
    </row>
    <row r="85" spans="1:29" s="1" customFormat="1" ht="13.5" customHeight="1">
      <c r="A85" s="34" t="s">
        <v>121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29" t="s">
        <v>96</v>
      </c>
      <c r="M85" s="29"/>
      <c r="N85" s="29"/>
      <c r="O85" s="29" t="s">
        <v>143</v>
      </c>
      <c r="P85" s="29"/>
      <c r="Q85" s="29"/>
      <c r="R85" s="30" t="s">
        <v>122</v>
      </c>
      <c r="S85" s="30"/>
      <c r="T85" s="31">
        <f>78000</f>
        <v>78000</v>
      </c>
      <c r="U85" s="31"/>
      <c r="V85" s="31"/>
      <c r="W85" s="31">
        <f>78000</f>
        <v>78000</v>
      </c>
      <c r="X85" s="31"/>
      <c r="Y85" s="31"/>
      <c r="Z85" s="31"/>
      <c r="AA85" s="31"/>
      <c r="AB85" s="33">
        <f t="shared" si="2"/>
        <v>0</v>
      </c>
      <c r="AC85" s="33"/>
    </row>
    <row r="86" spans="1:29" s="1" customFormat="1" ht="13.5" customHeight="1">
      <c r="A86" s="34" t="s">
        <v>121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29" t="s">
        <v>96</v>
      </c>
      <c r="M86" s="29"/>
      <c r="N86" s="29"/>
      <c r="O86" s="29" t="s">
        <v>144</v>
      </c>
      <c r="P86" s="29"/>
      <c r="Q86" s="29"/>
      <c r="R86" s="30" t="s">
        <v>122</v>
      </c>
      <c r="S86" s="30"/>
      <c r="T86" s="31">
        <f>5000</f>
        <v>5000</v>
      </c>
      <c r="U86" s="31"/>
      <c r="V86" s="31"/>
      <c r="W86" s="35" t="s">
        <v>40</v>
      </c>
      <c r="X86" s="35"/>
      <c r="Y86" s="35"/>
      <c r="Z86" s="35"/>
      <c r="AA86" s="35"/>
      <c r="AB86" s="33">
        <v>5000</v>
      </c>
      <c r="AC86" s="33"/>
    </row>
    <row r="87" spans="1:29" s="1" customFormat="1" ht="13.5" customHeight="1">
      <c r="A87" s="34" t="s">
        <v>123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29" t="s">
        <v>96</v>
      </c>
      <c r="M87" s="29"/>
      <c r="N87" s="29"/>
      <c r="O87" s="29" t="s">
        <v>144</v>
      </c>
      <c r="P87" s="29"/>
      <c r="Q87" s="29"/>
      <c r="R87" s="30" t="s">
        <v>124</v>
      </c>
      <c r="S87" s="30"/>
      <c r="T87" s="31">
        <f>5000</f>
        <v>5000</v>
      </c>
      <c r="U87" s="31"/>
      <c r="V87" s="31"/>
      <c r="W87" s="35" t="s">
        <v>40</v>
      </c>
      <c r="X87" s="35"/>
      <c r="Y87" s="35"/>
      <c r="Z87" s="35"/>
      <c r="AA87" s="35"/>
      <c r="AB87" s="33">
        <v>5000</v>
      </c>
      <c r="AC87" s="33"/>
    </row>
    <row r="88" spans="1:29" s="1" customFormat="1" ht="13.5" customHeight="1">
      <c r="A88" s="34" t="s">
        <v>123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29" t="s">
        <v>96</v>
      </c>
      <c r="M88" s="29"/>
      <c r="N88" s="29"/>
      <c r="O88" s="29" t="s">
        <v>145</v>
      </c>
      <c r="P88" s="29"/>
      <c r="Q88" s="29"/>
      <c r="R88" s="30" t="s">
        <v>124</v>
      </c>
      <c r="S88" s="30"/>
      <c r="T88" s="31">
        <f>10897</f>
        <v>10897</v>
      </c>
      <c r="U88" s="31"/>
      <c r="V88" s="31"/>
      <c r="W88" s="31">
        <v>10897</v>
      </c>
      <c r="X88" s="31"/>
      <c r="Y88" s="31"/>
      <c r="Z88" s="31"/>
      <c r="AA88" s="31"/>
      <c r="AB88" s="33">
        <f t="shared" si="2"/>
        <v>0</v>
      </c>
      <c r="AC88" s="33"/>
    </row>
    <row r="89" spans="1:29" s="1" customFormat="1" ht="13.5" customHeight="1">
      <c r="A89" s="34" t="s">
        <v>110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29" t="s">
        <v>96</v>
      </c>
      <c r="M89" s="29"/>
      <c r="N89" s="29"/>
      <c r="O89" s="29" t="s">
        <v>146</v>
      </c>
      <c r="P89" s="29"/>
      <c r="Q89" s="29"/>
      <c r="R89" s="30" t="s">
        <v>112</v>
      </c>
      <c r="S89" s="30"/>
      <c r="T89" s="31">
        <f>6704.5</f>
        <v>6704.5</v>
      </c>
      <c r="U89" s="31"/>
      <c r="V89" s="31"/>
      <c r="W89" s="35" t="s">
        <v>40</v>
      </c>
      <c r="X89" s="35"/>
      <c r="Y89" s="35"/>
      <c r="Z89" s="35"/>
      <c r="AA89" s="35"/>
      <c r="AB89" s="33">
        <v>6704.5</v>
      </c>
      <c r="AC89" s="33"/>
    </row>
    <row r="90" spans="1:29" s="1" customFormat="1" ht="13.5" customHeight="1">
      <c r="A90" s="34" t="s">
        <v>110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29" t="s">
        <v>96</v>
      </c>
      <c r="M90" s="29"/>
      <c r="N90" s="29"/>
      <c r="O90" s="29" t="s">
        <v>147</v>
      </c>
      <c r="P90" s="29"/>
      <c r="Q90" s="29"/>
      <c r="R90" s="30" t="s">
        <v>112</v>
      </c>
      <c r="S90" s="30"/>
      <c r="T90" s="31">
        <f>2866.2</f>
        <v>2866.2</v>
      </c>
      <c r="U90" s="31"/>
      <c r="V90" s="31"/>
      <c r="W90" s="35" t="s">
        <v>40</v>
      </c>
      <c r="X90" s="35"/>
      <c r="Y90" s="35"/>
      <c r="Z90" s="35"/>
      <c r="AA90" s="35"/>
      <c r="AB90" s="33">
        <v>2866.2</v>
      </c>
      <c r="AC90" s="33"/>
    </row>
    <row r="91" spans="1:29" s="1" customFormat="1" ht="13.5" customHeight="1">
      <c r="A91" s="34" t="s">
        <v>119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29" t="s">
        <v>96</v>
      </c>
      <c r="M91" s="29"/>
      <c r="N91" s="29"/>
      <c r="O91" s="29" t="s">
        <v>148</v>
      </c>
      <c r="P91" s="29"/>
      <c r="Q91" s="29"/>
      <c r="R91" s="30" t="s">
        <v>120</v>
      </c>
      <c r="S91" s="30"/>
      <c r="T91" s="31">
        <f>450000</f>
        <v>450000</v>
      </c>
      <c r="U91" s="31"/>
      <c r="V91" s="31"/>
      <c r="W91" s="31">
        <f>450000</f>
        <v>450000</v>
      </c>
      <c r="X91" s="31"/>
      <c r="Y91" s="31"/>
      <c r="Z91" s="31"/>
      <c r="AA91" s="31"/>
      <c r="AB91" s="33">
        <f t="shared" si="2"/>
        <v>0</v>
      </c>
      <c r="AC91" s="33"/>
    </row>
    <row r="92" spans="1:29" s="1" customFormat="1" ht="13.5" customHeight="1">
      <c r="A92" s="34" t="s">
        <v>121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29" t="s">
        <v>96</v>
      </c>
      <c r="M92" s="29"/>
      <c r="N92" s="29"/>
      <c r="O92" s="29" t="s">
        <v>148</v>
      </c>
      <c r="P92" s="29"/>
      <c r="Q92" s="29"/>
      <c r="R92" s="30" t="s">
        <v>122</v>
      </c>
      <c r="S92" s="30"/>
      <c r="T92" s="31">
        <f>42590.36</f>
        <v>42590.36</v>
      </c>
      <c r="U92" s="31"/>
      <c r="V92" s="31"/>
      <c r="W92" s="31">
        <f>42590.36</f>
        <v>42590.36</v>
      </c>
      <c r="X92" s="31"/>
      <c r="Y92" s="31"/>
      <c r="Z92" s="31"/>
      <c r="AA92" s="31"/>
      <c r="AB92" s="33">
        <f t="shared" si="2"/>
        <v>0</v>
      </c>
      <c r="AC92" s="33"/>
    </row>
    <row r="93" spans="1:29" s="1" customFormat="1" ht="13.5" customHeight="1">
      <c r="A93" s="34" t="s">
        <v>121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29" t="s">
        <v>96</v>
      </c>
      <c r="M93" s="29"/>
      <c r="N93" s="29"/>
      <c r="O93" s="29" t="s">
        <v>149</v>
      </c>
      <c r="P93" s="29"/>
      <c r="Q93" s="29"/>
      <c r="R93" s="30" t="s">
        <v>122</v>
      </c>
      <c r="S93" s="30"/>
      <c r="T93" s="31">
        <f>100000</f>
        <v>100000</v>
      </c>
      <c r="U93" s="31"/>
      <c r="V93" s="31"/>
      <c r="W93" s="31">
        <f>100000</f>
        <v>100000</v>
      </c>
      <c r="X93" s="31"/>
      <c r="Y93" s="31"/>
      <c r="Z93" s="31"/>
      <c r="AA93" s="31"/>
      <c r="AB93" s="33">
        <f t="shared" si="2"/>
        <v>0</v>
      </c>
      <c r="AC93" s="33"/>
    </row>
    <row r="94" spans="1:29" s="1" customFormat="1" ht="13.5" customHeight="1">
      <c r="A94" s="34" t="s">
        <v>119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29" t="s">
        <v>96</v>
      </c>
      <c r="M94" s="29"/>
      <c r="N94" s="29"/>
      <c r="O94" s="29" t="s">
        <v>150</v>
      </c>
      <c r="P94" s="29"/>
      <c r="Q94" s="29"/>
      <c r="R94" s="30" t="s">
        <v>120</v>
      </c>
      <c r="S94" s="30"/>
      <c r="T94" s="31">
        <f>2344000</f>
        <v>2344000</v>
      </c>
      <c r="U94" s="31"/>
      <c r="V94" s="31"/>
      <c r="W94" s="31">
        <f>2343920.27</f>
        <v>2343920.27</v>
      </c>
      <c r="X94" s="31"/>
      <c r="Y94" s="31"/>
      <c r="Z94" s="31"/>
      <c r="AA94" s="31"/>
      <c r="AB94" s="33">
        <f t="shared" si="2"/>
        <v>79.72999999998137</v>
      </c>
      <c r="AC94" s="33"/>
    </row>
    <row r="95" spans="1:29" s="1" customFormat="1" ht="13.5" customHeight="1">
      <c r="A95" s="34" t="s">
        <v>119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29" t="s">
        <v>96</v>
      </c>
      <c r="M95" s="29"/>
      <c r="N95" s="29"/>
      <c r="O95" s="29" t="s">
        <v>151</v>
      </c>
      <c r="P95" s="29"/>
      <c r="Q95" s="29"/>
      <c r="R95" s="30" t="s">
        <v>120</v>
      </c>
      <c r="S95" s="30"/>
      <c r="T95" s="31">
        <f>123400</f>
        <v>123400</v>
      </c>
      <c r="U95" s="31"/>
      <c r="V95" s="31"/>
      <c r="W95" s="31">
        <f>123400</f>
        <v>123400</v>
      </c>
      <c r="X95" s="31"/>
      <c r="Y95" s="31"/>
      <c r="Z95" s="31"/>
      <c r="AA95" s="31"/>
      <c r="AB95" s="33">
        <f t="shared" si="2"/>
        <v>0</v>
      </c>
      <c r="AC95" s="33"/>
    </row>
    <row r="96" spans="1:29" s="1" customFormat="1" ht="13.5" customHeight="1">
      <c r="A96" s="34" t="s">
        <v>123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29" t="s">
        <v>96</v>
      </c>
      <c r="M96" s="29"/>
      <c r="N96" s="29"/>
      <c r="O96" s="29" t="s">
        <v>152</v>
      </c>
      <c r="P96" s="29"/>
      <c r="Q96" s="29"/>
      <c r="R96" s="30" t="s">
        <v>124</v>
      </c>
      <c r="S96" s="30"/>
      <c r="T96" s="31">
        <f>669240</f>
        <v>669240</v>
      </c>
      <c r="U96" s="31"/>
      <c r="V96" s="31"/>
      <c r="W96" s="35" t="s">
        <v>40</v>
      </c>
      <c r="X96" s="35"/>
      <c r="Y96" s="35"/>
      <c r="Z96" s="35"/>
      <c r="AA96" s="35"/>
      <c r="AB96" s="33">
        <v>669240</v>
      </c>
      <c r="AC96" s="33"/>
    </row>
    <row r="97" spans="1:29" s="1" customFormat="1" ht="13.5" customHeight="1">
      <c r="A97" s="34" t="s">
        <v>121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29" t="s">
        <v>96</v>
      </c>
      <c r="M97" s="29"/>
      <c r="N97" s="29"/>
      <c r="O97" s="29" t="s">
        <v>153</v>
      </c>
      <c r="P97" s="29"/>
      <c r="Q97" s="29"/>
      <c r="R97" s="30" t="s">
        <v>122</v>
      </c>
      <c r="S97" s="30"/>
      <c r="T97" s="31">
        <f>10000</f>
        <v>10000</v>
      </c>
      <c r="U97" s="31"/>
      <c r="V97" s="31"/>
      <c r="W97" s="31">
        <f>8000</f>
        <v>8000</v>
      </c>
      <c r="X97" s="31"/>
      <c r="Y97" s="31"/>
      <c r="Z97" s="31"/>
      <c r="AA97" s="31"/>
      <c r="AB97" s="33">
        <f t="shared" si="2"/>
        <v>2000</v>
      </c>
      <c r="AC97" s="33"/>
    </row>
    <row r="98" spans="1:29" s="1" customFormat="1" ht="13.5" customHeight="1">
      <c r="A98" s="34" t="s">
        <v>119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29" t="s">
        <v>96</v>
      </c>
      <c r="M98" s="29"/>
      <c r="N98" s="29"/>
      <c r="O98" s="29" t="s">
        <v>154</v>
      </c>
      <c r="P98" s="29"/>
      <c r="Q98" s="29"/>
      <c r="R98" s="30" t="s">
        <v>120</v>
      </c>
      <c r="S98" s="30"/>
      <c r="T98" s="31">
        <f>400000</f>
        <v>400000</v>
      </c>
      <c r="U98" s="31"/>
      <c r="V98" s="31"/>
      <c r="W98" s="31">
        <f>263295.1</f>
        <v>263295.1</v>
      </c>
      <c r="X98" s="31"/>
      <c r="Y98" s="31"/>
      <c r="Z98" s="31"/>
      <c r="AA98" s="31"/>
      <c r="AB98" s="33">
        <f t="shared" si="2"/>
        <v>136704.90000000002</v>
      </c>
      <c r="AC98" s="33"/>
    </row>
    <row r="99" spans="1:29" s="1" customFormat="1" ht="13.5" customHeight="1">
      <c r="A99" s="34" t="s">
        <v>121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29" t="s">
        <v>96</v>
      </c>
      <c r="M99" s="29"/>
      <c r="N99" s="29"/>
      <c r="O99" s="29" t="s">
        <v>154</v>
      </c>
      <c r="P99" s="29"/>
      <c r="Q99" s="29"/>
      <c r="R99" s="30" t="s">
        <v>122</v>
      </c>
      <c r="S99" s="30"/>
      <c r="T99" s="31">
        <f>68000</f>
        <v>68000</v>
      </c>
      <c r="U99" s="31"/>
      <c r="V99" s="31"/>
      <c r="W99" s="31">
        <f>62026.59</f>
        <v>62026.59</v>
      </c>
      <c r="X99" s="31"/>
      <c r="Y99" s="31"/>
      <c r="Z99" s="31"/>
      <c r="AA99" s="31"/>
      <c r="AB99" s="33">
        <f t="shared" si="2"/>
        <v>5973.4100000000035</v>
      </c>
      <c r="AC99" s="33"/>
    </row>
    <row r="100" spans="1:29" s="1" customFormat="1" ht="13.5" customHeight="1">
      <c r="A100" s="34" t="s">
        <v>123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29" t="s">
        <v>96</v>
      </c>
      <c r="M100" s="29"/>
      <c r="N100" s="29"/>
      <c r="O100" s="29" t="s">
        <v>155</v>
      </c>
      <c r="P100" s="29"/>
      <c r="Q100" s="29"/>
      <c r="R100" s="30" t="s">
        <v>124</v>
      </c>
      <c r="S100" s="30"/>
      <c r="T100" s="31">
        <f>60000</f>
        <v>60000</v>
      </c>
      <c r="U100" s="31"/>
      <c r="V100" s="31"/>
      <c r="W100" s="31">
        <f>60000</f>
        <v>60000</v>
      </c>
      <c r="X100" s="31"/>
      <c r="Y100" s="31"/>
      <c r="Z100" s="31"/>
      <c r="AA100" s="31"/>
      <c r="AB100" s="33">
        <f t="shared" si="2"/>
        <v>0</v>
      </c>
      <c r="AC100" s="33"/>
    </row>
    <row r="101" spans="1:29" s="1" customFormat="1" ht="13.5" customHeight="1">
      <c r="A101" s="34" t="s">
        <v>121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29" t="s">
        <v>96</v>
      </c>
      <c r="M101" s="29"/>
      <c r="N101" s="29"/>
      <c r="O101" s="29" t="s">
        <v>156</v>
      </c>
      <c r="P101" s="29"/>
      <c r="Q101" s="29"/>
      <c r="R101" s="30" t="s">
        <v>122</v>
      </c>
      <c r="S101" s="30"/>
      <c r="T101" s="31">
        <f>744551.8</f>
        <v>744551.8</v>
      </c>
      <c r="U101" s="31"/>
      <c r="V101" s="31"/>
      <c r="W101" s="31">
        <f>244551.8</f>
        <v>244551.8</v>
      </c>
      <c r="X101" s="31"/>
      <c r="Y101" s="31"/>
      <c r="Z101" s="31"/>
      <c r="AA101" s="31"/>
      <c r="AB101" s="33">
        <f t="shared" si="2"/>
        <v>500000.00000000006</v>
      </c>
      <c r="AC101" s="33"/>
    </row>
    <row r="102" spans="1:29" s="1" customFormat="1" ht="13.5" customHeight="1">
      <c r="A102" s="34" t="s">
        <v>123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29" t="s">
        <v>96</v>
      </c>
      <c r="M102" s="29"/>
      <c r="N102" s="29"/>
      <c r="O102" s="29" t="s">
        <v>156</v>
      </c>
      <c r="P102" s="29"/>
      <c r="Q102" s="29"/>
      <c r="R102" s="30" t="s">
        <v>124</v>
      </c>
      <c r="S102" s="30"/>
      <c r="T102" s="31">
        <f>1083248.2</f>
        <v>1083248.2</v>
      </c>
      <c r="U102" s="31"/>
      <c r="V102" s="31"/>
      <c r="W102" s="31">
        <f>730088.4</f>
        <v>730088.4</v>
      </c>
      <c r="X102" s="31"/>
      <c r="Y102" s="31"/>
      <c r="Z102" s="31"/>
      <c r="AA102" s="31"/>
      <c r="AB102" s="33">
        <f t="shared" si="2"/>
        <v>353159.79999999993</v>
      </c>
      <c r="AC102" s="33"/>
    </row>
    <row r="103" spans="1:29" s="1" customFormat="1" ht="13.5" customHeight="1">
      <c r="A103" s="34" t="s">
        <v>128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29" t="s">
        <v>96</v>
      </c>
      <c r="M103" s="29"/>
      <c r="N103" s="29"/>
      <c r="O103" s="29" t="s">
        <v>157</v>
      </c>
      <c r="P103" s="29"/>
      <c r="Q103" s="29"/>
      <c r="R103" s="30" t="s">
        <v>129</v>
      </c>
      <c r="S103" s="30"/>
      <c r="T103" s="31">
        <f>140000</f>
        <v>140000</v>
      </c>
      <c r="U103" s="31"/>
      <c r="V103" s="31"/>
      <c r="W103" s="31">
        <f>77960.42</f>
        <v>77960.42</v>
      </c>
      <c r="X103" s="31"/>
      <c r="Y103" s="31"/>
      <c r="Z103" s="31"/>
      <c r="AA103" s="31"/>
      <c r="AB103" s="33">
        <f t="shared" si="2"/>
        <v>62039.58</v>
      </c>
      <c r="AC103" s="33"/>
    </row>
    <row r="104" spans="1:29" s="1" customFormat="1" ht="13.5" customHeight="1">
      <c r="A104" s="34" t="s">
        <v>119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29" t="s">
        <v>96</v>
      </c>
      <c r="M104" s="29"/>
      <c r="N104" s="29"/>
      <c r="O104" s="29" t="s">
        <v>157</v>
      </c>
      <c r="P104" s="29"/>
      <c r="Q104" s="29"/>
      <c r="R104" s="30" t="s">
        <v>120</v>
      </c>
      <c r="S104" s="30"/>
      <c r="T104" s="31">
        <f>400000</f>
        <v>400000</v>
      </c>
      <c r="U104" s="31"/>
      <c r="V104" s="31"/>
      <c r="W104" s="31">
        <f>215315.82</f>
        <v>215315.82</v>
      </c>
      <c r="X104" s="31"/>
      <c r="Y104" s="31"/>
      <c r="Z104" s="31"/>
      <c r="AA104" s="31"/>
      <c r="AB104" s="33">
        <f t="shared" si="2"/>
        <v>184684.18</v>
      </c>
      <c r="AC104" s="33"/>
    </row>
    <row r="105" spans="1:29" s="1" customFormat="1" ht="13.5" customHeight="1">
      <c r="A105" s="34" t="s">
        <v>121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29" t="s">
        <v>96</v>
      </c>
      <c r="M105" s="29"/>
      <c r="N105" s="29"/>
      <c r="O105" s="29" t="s">
        <v>158</v>
      </c>
      <c r="P105" s="29"/>
      <c r="Q105" s="29"/>
      <c r="R105" s="30" t="s">
        <v>122</v>
      </c>
      <c r="S105" s="30"/>
      <c r="T105" s="31">
        <f>75448.2</f>
        <v>75448.2</v>
      </c>
      <c r="U105" s="31"/>
      <c r="V105" s="31"/>
      <c r="W105" s="31">
        <f>75448.2</f>
        <v>75448.2</v>
      </c>
      <c r="X105" s="31"/>
      <c r="Y105" s="31"/>
      <c r="Z105" s="31"/>
      <c r="AA105" s="31"/>
      <c r="AB105" s="33">
        <f t="shared" si="2"/>
        <v>0</v>
      </c>
      <c r="AC105" s="33"/>
    </row>
    <row r="106" spans="1:29" s="1" customFormat="1" ht="13.5" customHeight="1">
      <c r="A106" s="34" t="s">
        <v>125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29" t="s">
        <v>96</v>
      </c>
      <c r="M106" s="29"/>
      <c r="N106" s="29"/>
      <c r="O106" s="29" t="s">
        <v>158</v>
      </c>
      <c r="P106" s="29"/>
      <c r="Q106" s="29"/>
      <c r="R106" s="30" t="s">
        <v>126</v>
      </c>
      <c r="S106" s="30"/>
      <c r="T106" s="31">
        <f>66540</f>
        <v>66540</v>
      </c>
      <c r="U106" s="31"/>
      <c r="V106" s="31"/>
      <c r="W106" s="31">
        <f>66540</f>
        <v>66540</v>
      </c>
      <c r="X106" s="31"/>
      <c r="Y106" s="31"/>
      <c r="Z106" s="31"/>
      <c r="AA106" s="31"/>
      <c r="AB106" s="33">
        <f t="shared" si="2"/>
        <v>0</v>
      </c>
      <c r="AC106" s="33"/>
    </row>
    <row r="107" spans="1:29" s="1" customFormat="1" ht="13.5" customHeight="1">
      <c r="A107" s="34" t="s">
        <v>119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29" t="s">
        <v>96</v>
      </c>
      <c r="M107" s="29"/>
      <c r="N107" s="29"/>
      <c r="O107" s="29" t="s">
        <v>159</v>
      </c>
      <c r="P107" s="29"/>
      <c r="Q107" s="29"/>
      <c r="R107" s="30" t="s">
        <v>120</v>
      </c>
      <c r="S107" s="30"/>
      <c r="T107" s="31">
        <f>131004.88</f>
        <v>131004.88</v>
      </c>
      <c r="U107" s="31"/>
      <c r="V107" s="31"/>
      <c r="W107" s="31">
        <f>131004.88</f>
        <v>131004.88</v>
      </c>
      <c r="X107" s="31"/>
      <c r="Y107" s="31"/>
      <c r="Z107" s="31"/>
      <c r="AA107" s="31"/>
      <c r="AB107" s="33">
        <f t="shared" si="2"/>
        <v>0</v>
      </c>
      <c r="AC107" s="33"/>
    </row>
    <row r="108" spans="1:29" s="1" customFormat="1" ht="13.5" customHeight="1">
      <c r="A108" s="34" t="s">
        <v>121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29" t="s">
        <v>96</v>
      </c>
      <c r="M108" s="29"/>
      <c r="N108" s="29"/>
      <c r="O108" s="29" t="s">
        <v>159</v>
      </c>
      <c r="P108" s="29"/>
      <c r="Q108" s="29"/>
      <c r="R108" s="30" t="s">
        <v>122</v>
      </c>
      <c r="S108" s="30"/>
      <c r="T108" s="31">
        <f>60000</f>
        <v>60000</v>
      </c>
      <c r="U108" s="31"/>
      <c r="V108" s="31"/>
      <c r="W108" s="31">
        <f>60000</f>
        <v>60000</v>
      </c>
      <c r="X108" s="31"/>
      <c r="Y108" s="31"/>
      <c r="Z108" s="31"/>
      <c r="AA108" s="31"/>
      <c r="AB108" s="33">
        <f t="shared" si="2"/>
        <v>0</v>
      </c>
      <c r="AC108" s="33"/>
    </row>
    <row r="109" spans="1:29" s="1" customFormat="1" ht="13.5" customHeight="1">
      <c r="A109" s="34" t="s">
        <v>123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29" t="s">
        <v>96</v>
      </c>
      <c r="M109" s="29"/>
      <c r="N109" s="29"/>
      <c r="O109" s="29" t="s">
        <v>159</v>
      </c>
      <c r="P109" s="29"/>
      <c r="Q109" s="29"/>
      <c r="R109" s="30" t="s">
        <v>124</v>
      </c>
      <c r="S109" s="30"/>
      <c r="T109" s="31">
        <f>36480</f>
        <v>36480</v>
      </c>
      <c r="U109" s="31"/>
      <c r="V109" s="31"/>
      <c r="W109" s="31">
        <f>36480</f>
        <v>36480</v>
      </c>
      <c r="X109" s="31"/>
      <c r="Y109" s="31"/>
      <c r="Z109" s="31"/>
      <c r="AA109" s="31"/>
      <c r="AB109" s="33">
        <f t="shared" si="2"/>
        <v>0</v>
      </c>
      <c r="AC109" s="33"/>
    </row>
    <row r="110" spans="1:29" s="1" customFormat="1" ht="13.5" customHeight="1">
      <c r="A110" s="34" t="s">
        <v>121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29" t="s">
        <v>96</v>
      </c>
      <c r="M110" s="29"/>
      <c r="N110" s="29"/>
      <c r="O110" s="29" t="s">
        <v>160</v>
      </c>
      <c r="P110" s="29"/>
      <c r="Q110" s="29"/>
      <c r="R110" s="30" t="s">
        <v>122</v>
      </c>
      <c r="S110" s="30"/>
      <c r="T110" s="31">
        <f>100000</f>
        <v>100000</v>
      </c>
      <c r="U110" s="31"/>
      <c r="V110" s="31"/>
      <c r="W110" s="31">
        <f>100000</f>
        <v>100000</v>
      </c>
      <c r="X110" s="31"/>
      <c r="Y110" s="31"/>
      <c r="Z110" s="31"/>
      <c r="AA110" s="31"/>
      <c r="AB110" s="33">
        <f t="shared" si="2"/>
        <v>0</v>
      </c>
      <c r="AC110" s="33"/>
    </row>
    <row r="111" spans="1:29" s="1" customFormat="1" ht="13.5" customHeight="1">
      <c r="A111" s="34" t="s">
        <v>123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29" t="s">
        <v>96</v>
      </c>
      <c r="M111" s="29"/>
      <c r="N111" s="29"/>
      <c r="O111" s="29" t="s">
        <v>160</v>
      </c>
      <c r="P111" s="29"/>
      <c r="Q111" s="29"/>
      <c r="R111" s="30" t="s">
        <v>124</v>
      </c>
      <c r="S111" s="30"/>
      <c r="T111" s="31">
        <f>180000</f>
        <v>180000</v>
      </c>
      <c r="U111" s="31"/>
      <c r="V111" s="31"/>
      <c r="W111" s="31">
        <f>180000</f>
        <v>180000</v>
      </c>
      <c r="X111" s="31"/>
      <c r="Y111" s="31"/>
      <c r="Z111" s="31"/>
      <c r="AA111" s="31"/>
      <c r="AB111" s="33">
        <f t="shared" si="2"/>
        <v>0</v>
      </c>
      <c r="AC111" s="33"/>
    </row>
    <row r="112" spans="1:29" s="1" customFormat="1" ht="13.5" customHeight="1">
      <c r="A112" s="34" t="s">
        <v>110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29" t="s">
        <v>96</v>
      </c>
      <c r="M112" s="29"/>
      <c r="N112" s="29"/>
      <c r="O112" s="29" t="s">
        <v>161</v>
      </c>
      <c r="P112" s="29"/>
      <c r="Q112" s="29"/>
      <c r="R112" s="30" t="s">
        <v>112</v>
      </c>
      <c r="S112" s="30"/>
      <c r="T112" s="31">
        <f>90000</f>
        <v>90000</v>
      </c>
      <c r="U112" s="31"/>
      <c r="V112" s="31"/>
      <c r="W112" s="31">
        <f>45000</f>
        <v>45000</v>
      </c>
      <c r="X112" s="31"/>
      <c r="Y112" s="31"/>
      <c r="Z112" s="31"/>
      <c r="AA112" s="31"/>
      <c r="AB112" s="33">
        <f t="shared" si="2"/>
        <v>45000</v>
      </c>
      <c r="AC112" s="33"/>
    </row>
    <row r="113" spans="1:29" s="1" customFormat="1" ht="13.5" customHeight="1">
      <c r="A113" s="34" t="s">
        <v>162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29" t="s">
        <v>96</v>
      </c>
      <c r="M113" s="29"/>
      <c r="N113" s="29"/>
      <c r="O113" s="36">
        <v>6.5014035030089E+19</v>
      </c>
      <c r="P113" s="29"/>
      <c r="Q113" s="29"/>
      <c r="R113" s="30" t="s">
        <v>163</v>
      </c>
      <c r="S113" s="30"/>
      <c r="T113" s="31">
        <f>12886351.31</f>
        <v>12886351.31</v>
      </c>
      <c r="U113" s="31"/>
      <c r="V113" s="31"/>
      <c r="W113" s="31">
        <f>11198541.31</f>
        <v>11198541.31</v>
      </c>
      <c r="X113" s="31"/>
      <c r="Y113" s="31"/>
      <c r="Z113" s="31"/>
      <c r="AA113" s="31"/>
      <c r="AB113" s="33">
        <f t="shared" si="2"/>
        <v>1687810</v>
      </c>
      <c r="AC113" s="33"/>
    </row>
    <row r="114" spans="1:29" s="1" customFormat="1" ht="15" customHeight="1">
      <c r="A114" s="37" t="s">
        <v>164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8" t="s">
        <v>165</v>
      </c>
      <c r="M114" s="38"/>
      <c r="N114" s="38"/>
      <c r="O114" s="38" t="s">
        <v>37</v>
      </c>
      <c r="P114" s="38"/>
      <c r="Q114" s="38"/>
      <c r="R114" s="39" t="s">
        <v>37</v>
      </c>
      <c r="S114" s="39"/>
      <c r="T114" s="40">
        <f>-2229778.27</f>
        <v>-2229778.27</v>
      </c>
      <c r="U114" s="40"/>
      <c r="V114" s="40"/>
      <c r="W114" s="40">
        <f>V12-W48</f>
        <v>2188925.480000004</v>
      </c>
      <c r="X114" s="40"/>
      <c r="Y114" s="40"/>
      <c r="Z114" s="40"/>
      <c r="AA114" s="40"/>
      <c r="AB114" s="41" t="s">
        <v>37</v>
      </c>
      <c r="AC114" s="41"/>
    </row>
    <row r="115" spans="1:29" s="1" customFormat="1" ht="13.5" customHeight="1">
      <c r="A115" s="10" t="s">
        <v>11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s="1" customFormat="1" ht="13.5" customHeight="1">
      <c r="A116" s="12" t="s">
        <v>166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s="1" customFormat="1" ht="45.75" customHeight="1">
      <c r="A117" s="13" t="s">
        <v>23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 t="s">
        <v>24</v>
      </c>
      <c r="N117" s="13"/>
      <c r="O117" s="13"/>
      <c r="P117" s="13" t="s">
        <v>167</v>
      </c>
      <c r="Q117" s="13"/>
      <c r="R117" s="13"/>
      <c r="S117" s="14" t="s">
        <v>26</v>
      </c>
      <c r="T117" s="14"/>
      <c r="U117" s="14"/>
      <c r="V117" s="14" t="s">
        <v>27</v>
      </c>
      <c r="W117" s="14"/>
      <c r="X117" s="14"/>
      <c r="Y117" s="14"/>
      <c r="Z117" s="14"/>
      <c r="AA117" s="15" t="s">
        <v>28</v>
      </c>
      <c r="AB117" s="15"/>
      <c r="AC117" s="15"/>
    </row>
    <row r="118" spans="1:29" s="1" customFormat="1" ht="12.75" customHeight="1">
      <c r="A118" s="16" t="s">
        <v>29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 t="s">
        <v>30</v>
      </c>
      <c r="N118" s="16"/>
      <c r="O118" s="16"/>
      <c r="P118" s="16" t="s">
        <v>31</v>
      </c>
      <c r="Q118" s="16"/>
      <c r="R118" s="16"/>
      <c r="S118" s="17" t="s">
        <v>32</v>
      </c>
      <c r="T118" s="17"/>
      <c r="U118" s="17"/>
      <c r="V118" s="17" t="s">
        <v>33</v>
      </c>
      <c r="W118" s="17"/>
      <c r="X118" s="17"/>
      <c r="Y118" s="17"/>
      <c r="Z118" s="17"/>
      <c r="AA118" s="18" t="s">
        <v>34</v>
      </c>
      <c r="AB118" s="18"/>
      <c r="AC118" s="18"/>
    </row>
    <row r="119" spans="1:29" s="1" customFormat="1" ht="13.5" customHeight="1">
      <c r="A119" s="19" t="s">
        <v>168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 t="s">
        <v>169</v>
      </c>
      <c r="N119" s="20"/>
      <c r="O119" s="20"/>
      <c r="P119" s="20" t="s">
        <v>37</v>
      </c>
      <c r="Q119" s="20"/>
      <c r="R119" s="20"/>
      <c r="S119" s="42">
        <f>2229778.27</f>
        <v>2229778.27</v>
      </c>
      <c r="T119" s="42"/>
      <c r="U119" s="42"/>
      <c r="V119" s="21">
        <f>V125</f>
        <v>-2188925.480000004</v>
      </c>
      <c r="W119" s="21"/>
      <c r="X119" s="21"/>
      <c r="Y119" s="21"/>
      <c r="Z119" s="21"/>
      <c r="AA119" s="43">
        <f>AA125</f>
        <v>4418703.750000004</v>
      </c>
      <c r="AB119" s="43"/>
      <c r="AC119" s="43"/>
    </row>
    <row r="120" spans="1:29" s="1" customFormat="1" ht="13.5" customHeight="1">
      <c r="A120" s="44" t="s">
        <v>170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5" t="s">
        <v>11</v>
      </c>
      <c r="N120" s="45"/>
      <c r="O120" s="45"/>
      <c r="P120" s="45" t="s">
        <v>11</v>
      </c>
      <c r="Q120" s="45"/>
      <c r="R120" s="45"/>
      <c r="S120" s="46" t="s">
        <v>11</v>
      </c>
      <c r="T120" s="46"/>
      <c r="U120" s="46"/>
      <c r="V120" s="47" t="s">
        <v>11</v>
      </c>
      <c r="W120" s="47"/>
      <c r="X120" s="47"/>
      <c r="Y120" s="47"/>
      <c r="Z120" s="47"/>
      <c r="AA120" s="48" t="s">
        <v>11</v>
      </c>
      <c r="AB120" s="48"/>
      <c r="AC120" s="48"/>
    </row>
    <row r="121" spans="1:29" s="1" customFormat="1" ht="13.5" customHeight="1">
      <c r="A121" s="23" t="s">
        <v>171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49" t="s">
        <v>172</v>
      </c>
      <c r="N121" s="49"/>
      <c r="O121" s="49"/>
      <c r="P121" s="24" t="s">
        <v>37</v>
      </c>
      <c r="Q121" s="24"/>
      <c r="R121" s="24"/>
      <c r="S121" s="50" t="s">
        <v>40</v>
      </c>
      <c r="T121" s="50"/>
      <c r="U121" s="50"/>
      <c r="V121" s="27" t="s">
        <v>40</v>
      </c>
      <c r="W121" s="27"/>
      <c r="X121" s="27"/>
      <c r="Y121" s="27"/>
      <c r="Z121" s="27"/>
      <c r="AA121" s="51" t="s">
        <v>40</v>
      </c>
      <c r="AB121" s="51"/>
      <c r="AC121" s="51"/>
    </row>
    <row r="122" spans="1:29" s="1" customFormat="1" ht="13.5" customHeight="1">
      <c r="A122" s="30" t="s">
        <v>11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</row>
    <row r="123" spans="1:29" s="1" customFormat="1" ht="13.5" customHeight="1">
      <c r="A123" s="34" t="s">
        <v>173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45" t="s">
        <v>174</v>
      </c>
      <c r="N123" s="45"/>
      <c r="O123" s="45"/>
      <c r="P123" s="45" t="s">
        <v>37</v>
      </c>
      <c r="Q123" s="45"/>
      <c r="R123" s="45"/>
      <c r="S123" s="46" t="s">
        <v>40</v>
      </c>
      <c r="T123" s="46"/>
      <c r="U123" s="46"/>
      <c r="V123" s="35" t="s">
        <v>40</v>
      </c>
      <c r="W123" s="35"/>
      <c r="X123" s="35"/>
      <c r="Y123" s="35"/>
      <c r="Z123" s="35"/>
      <c r="AA123" s="48" t="s">
        <v>40</v>
      </c>
      <c r="AB123" s="48"/>
      <c r="AC123" s="48"/>
    </row>
    <row r="124" spans="1:29" s="1" customFormat="1" ht="13.5" customHeight="1">
      <c r="A124" s="34" t="s">
        <v>11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29" t="s">
        <v>174</v>
      </c>
      <c r="N124" s="29"/>
      <c r="O124" s="29"/>
      <c r="P124" s="29" t="s">
        <v>11</v>
      </c>
      <c r="Q124" s="29"/>
      <c r="R124" s="29"/>
      <c r="S124" s="52" t="s">
        <v>40</v>
      </c>
      <c r="T124" s="52"/>
      <c r="U124" s="52"/>
      <c r="V124" s="35" t="s">
        <v>40</v>
      </c>
      <c r="W124" s="35"/>
      <c r="X124" s="35"/>
      <c r="Y124" s="35"/>
      <c r="Z124" s="35"/>
      <c r="AA124" s="53" t="s">
        <v>40</v>
      </c>
      <c r="AB124" s="53"/>
      <c r="AC124" s="53"/>
    </row>
    <row r="125" spans="1:29" s="1" customFormat="1" ht="13.5" customHeight="1">
      <c r="A125" s="34" t="s">
        <v>175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29" t="s">
        <v>176</v>
      </c>
      <c r="N125" s="29"/>
      <c r="O125" s="29"/>
      <c r="P125" s="29" t="s">
        <v>177</v>
      </c>
      <c r="Q125" s="29"/>
      <c r="R125" s="29"/>
      <c r="S125" s="54">
        <f>2229778.27</f>
        <v>2229778.27</v>
      </c>
      <c r="T125" s="54"/>
      <c r="U125" s="54"/>
      <c r="V125" s="31">
        <f>V126+V127</f>
        <v>-2188925.480000004</v>
      </c>
      <c r="W125" s="31"/>
      <c r="X125" s="31"/>
      <c r="Y125" s="31"/>
      <c r="Z125" s="31"/>
      <c r="AA125" s="55">
        <f>S125-V125</f>
        <v>4418703.750000004</v>
      </c>
      <c r="AB125" s="55"/>
      <c r="AC125" s="55"/>
    </row>
    <row r="126" spans="1:29" s="1" customFormat="1" ht="13.5" customHeight="1">
      <c r="A126" s="34" t="s">
        <v>178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29" t="s">
        <v>179</v>
      </c>
      <c r="N126" s="29"/>
      <c r="O126" s="29"/>
      <c r="P126" s="29" t="s">
        <v>180</v>
      </c>
      <c r="Q126" s="29"/>
      <c r="R126" s="29"/>
      <c r="S126" s="54">
        <f>-34089777.01</f>
        <v>-34089777.01</v>
      </c>
      <c r="T126" s="54"/>
      <c r="U126" s="54"/>
      <c r="V126" s="31">
        <f>-V12</f>
        <v>-32085746.28</v>
      </c>
      <c r="W126" s="31"/>
      <c r="X126" s="31"/>
      <c r="Y126" s="31"/>
      <c r="Z126" s="31"/>
      <c r="AA126" s="56" t="s">
        <v>37</v>
      </c>
      <c r="AB126" s="56"/>
      <c r="AC126" s="56"/>
    </row>
    <row r="127" spans="1:29" s="1" customFormat="1" ht="13.5" customHeight="1">
      <c r="A127" s="34" t="s">
        <v>181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29" t="s">
        <v>182</v>
      </c>
      <c r="N127" s="29"/>
      <c r="O127" s="29"/>
      <c r="P127" s="29" t="s">
        <v>183</v>
      </c>
      <c r="Q127" s="29"/>
      <c r="R127" s="29"/>
      <c r="S127" s="54">
        <f>36319555.28</f>
        <v>36319555.28</v>
      </c>
      <c r="T127" s="54"/>
      <c r="U127" s="54"/>
      <c r="V127" s="31">
        <f>W48</f>
        <v>29896820.799999997</v>
      </c>
      <c r="W127" s="31"/>
      <c r="X127" s="31"/>
      <c r="Y127" s="31"/>
      <c r="Z127" s="31"/>
      <c r="AA127" s="56" t="s">
        <v>37</v>
      </c>
      <c r="AB127" s="56"/>
      <c r="AC127" s="56"/>
    </row>
    <row r="128" spans="1:29" s="1" customFormat="1" ht="13.5" customHeight="1">
      <c r="A128" s="57" t="s">
        <v>11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</row>
    <row r="129" spans="1:29" s="1" customFormat="1" ht="13.5" customHeight="1">
      <c r="A129" s="10" t="s">
        <v>184</v>
      </c>
      <c r="B129" s="10"/>
      <c r="C129" s="10"/>
      <c r="D129" s="10"/>
      <c r="E129" s="10"/>
      <c r="F129" s="10"/>
      <c r="G129" s="10"/>
      <c r="H129" s="10"/>
      <c r="I129" s="58" t="s">
        <v>11</v>
      </c>
      <c r="J129" s="58"/>
      <c r="K129" s="58"/>
      <c r="L129" s="58"/>
      <c r="M129" s="58"/>
      <c r="N129" s="58"/>
      <c r="O129" s="58"/>
      <c r="P129" s="58" t="s">
        <v>185</v>
      </c>
      <c r="Q129" s="58"/>
      <c r="R129" s="58"/>
      <c r="S129" s="58"/>
      <c r="T129" s="58"/>
      <c r="U129" s="10" t="s">
        <v>11</v>
      </c>
      <c r="V129" s="10"/>
      <c r="W129" s="10"/>
      <c r="X129" s="10"/>
      <c r="Y129" s="10"/>
      <c r="Z129" s="10"/>
      <c r="AA129" s="10"/>
      <c r="AB129" s="10"/>
      <c r="AC129" s="10"/>
    </row>
    <row r="130" spans="1:29" s="1" customFormat="1" ht="13.5" customHeight="1">
      <c r="A130" s="10" t="s">
        <v>11</v>
      </c>
      <c r="B130" s="10"/>
      <c r="C130" s="10"/>
      <c r="D130" s="10"/>
      <c r="E130" s="10"/>
      <c r="F130" s="10"/>
      <c r="G130" s="10"/>
      <c r="H130" s="10"/>
      <c r="I130" s="5" t="s">
        <v>11</v>
      </c>
      <c r="J130" s="59" t="s">
        <v>186</v>
      </c>
      <c r="K130" s="59"/>
      <c r="L130" s="59"/>
      <c r="M130" s="59"/>
      <c r="N130" s="10" t="s">
        <v>11</v>
      </c>
      <c r="O130" s="10"/>
      <c r="P130" s="5" t="s">
        <v>11</v>
      </c>
      <c r="Q130" s="59" t="s">
        <v>187</v>
      </c>
      <c r="R130" s="59"/>
      <c r="S130" s="59"/>
      <c r="T130" s="10" t="s">
        <v>11</v>
      </c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s="1" customFormat="1" ht="7.5" customHeight="1">
      <c r="A131" s="10" t="s">
        <v>11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s="1" customFormat="1" ht="13.5" customHeight="1">
      <c r="A132" s="10" t="s">
        <v>188</v>
      </c>
      <c r="B132" s="10"/>
      <c r="C132" s="10"/>
      <c r="D132" s="10"/>
      <c r="E132" s="10"/>
      <c r="F132" s="10"/>
      <c r="G132" s="10"/>
      <c r="H132" s="10"/>
      <c r="I132" s="58" t="s">
        <v>11</v>
      </c>
      <c r="J132" s="58"/>
      <c r="K132" s="58"/>
      <c r="L132" s="58"/>
      <c r="M132" s="58"/>
      <c r="N132" s="58"/>
      <c r="O132" s="58"/>
      <c r="P132" s="58" t="s">
        <v>189</v>
      </c>
      <c r="Q132" s="58"/>
      <c r="R132" s="58"/>
      <c r="S132" s="58"/>
      <c r="T132" s="58"/>
      <c r="U132" s="10" t="s">
        <v>11</v>
      </c>
      <c r="V132" s="10"/>
      <c r="W132" s="10"/>
      <c r="X132" s="10"/>
      <c r="Y132" s="10"/>
      <c r="Z132" s="10"/>
      <c r="AA132" s="10"/>
      <c r="AB132" s="10"/>
      <c r="AC132" s="10"/>
    </row>
    <row r="133" spans="1:29" s="1" customFormat="1" ht="13.5" customHeight="1">
      <c r="A133" s="10" t="s">
        <v>11</v>
      </c>
      <c r="B133" s="10"/>
      <c r="C133" s="10"/>
      <c r="D133" s="10"/>
      <c r="E133" s="10"/>
      <c r="F133" s="10"/>
      <c r="G133" s="10"/>
      <c r="H133" s="10"/>
      <c r="I133" s="5" t="s">
        <v>11</v>
      </c>
      <c r="J133" s="59" t="s">
        <v>186</v>
      </c>
      <c r="K133" s="59"/>
      <c r="L133" s="59"/>
      <c r="M133" s="59"/>
      <c r="N133" s="10" t="s">
        <v>11</v>
      </c>
      <c r="O133" s="10"/>
      <c r="P133" s="5" t="s">
        <v>11</v>
      </c>
      <c r="Q133" s="59" t="s">
        <v>187</v>
      </c>
      <c r="R133" s="59"/>
      <c r="S133" s="59"/>
      <c r="T133" s="10" t="s">
        <v>11</v>
      </c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s="1" customFormat="1" ht="7.5" customHeight="1">
      <c r="A134" s="10" t="s">
        <v>11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s="1" customFormat="1" ht="13.5" customHeight="1">
      <c r="A135" s="10" t="s">
        <v>190</v>
      </c>
      <c r="B135" s="10"/>
      <c r="C135" s="58" t="s">
        <v>188</v>
      </c>
      <c r="D135" s="58"/>
      <c r="E135" s="58"/>
      <c r="F135" s="58"/>
      <c r="G135" s="58"/>
      <c r="H135" s="58"/>
      <c r="I135" s="58" t="s">
        <v>11</v>
      </c>
      <c r="J135" s="58"/>
      <c r="K135" s="58"/>
      <c r="L135" s="58"/>
      <c r="M135" s="58"/>
      <c r="N135" s="58"/>
      <c r="O135" s="58"/>
      <c r="P135" s="58" t="s">
        <v>189</v>
      </c>
      <c r="Q135" s="58"/>
      <c r="R135" s="58"/>
      <c r="S135" s="58"/>
      <c r="T135" s="58"/>
      <c r="U135" s="10" t="s">
        <v>11</v>
      </c>
      <c r="V135" s="10"/>
      <c r="W135" s="10"/>
      <c r="X135" s="10"/>
      <c r="Y135" s="10"/>
      <c r="Z135" s="10"/>
      <c r="AA135" s="10"/>
      <c r="AB135" s="10"/>
      <c r="AC135" s="10"/>
    </row>
    <row r="136" spans="1:29" s="1" customFormat="1" ht="13.5" customHeight="1">
      <c r="A136" s="10" t="s">
        <v>11</v>
      </c>
      <c r="B136" s="10"/>
      <c r="C136" s="5" t="s">
        <v>11</v>
      </c>
      <c r="D136" s="59" t="s">
        <v>191</v>
      </c>
      <c r="E136" s="59"/>
      <c r="F136" s="59"/>
      <c r="G136" s="59"/>
      <c r="H136" s="5" t="s">
        <v>11</v>
      </c>
      <c r="I136" s="5" t="s">
        <v>11</v>
      </c>
      <c r="J136" s="59" t="s">
        <v>186</v>
      </c>
      <c r="K136" s="59"/>
      <c r="L136" s="59"/>
      <c r="M136" s="59"/>
      <c r="N136" s="10" t="s">
        <v>11</v>
      </c>
      <c r="O136" s="10"/>
      <c r="P136" s="5" t="s">
        <v>11</v>
      </c>
      <c r="Q136" s="59" t="s">
        <v>187</v>
      </c>
      <c r="R136" s="59"/>
      <c r="S136" s="59"/>
      <c r="T136" s="10" t="s">
        <v>11</v>
      </c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s="1" customFormat="1" ht="15.75" customHeight="1">
      <c r="A137" s="10" t="s">
        <v>11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s="1" customFormat="1" ht="13.5" customHeight="1">
      <c r="A138" s="60" t="s">
        <v>192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10" t="s">
        <v>11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s="1" customFormat="1" ht="13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</sheetData>
  <sheetProtection/>
  <mergeCells count="804">
    <mergeCell ref="A137:AC137"/>
    <mergeCell ref="A138:J138"/>
    <mergeCell ref="K138:AC138"/>
    <mergeCell ref="A139:AC139"/>
    <mergeCell ref="A136:B136"/>
    <mergeCell ref="D136:G136"/>
    <mergeCell ref="J136:M136"/>
    <mergeCell ref="N136:O136"/>
    <mergeCell ref="Q136:S136"/>
    <mergeCell ref="T136:AC136"/>
    <mergeCell ref="A134:AC134"/>
    <mergeCell ref="A135:B135"/>
    <mergeCell ref="C135:H135"/>
    <mergeCell ref="I135:O135"/>
    <mergeCell ref="P135:T135"/>
    <mergeCell ref="U135:AC135"/>
    <mergeCell ref="A131:AC131"/>
    <mergeCell ref="A132:H132"/>
    <mergeCell ref="I132:O132"/>
    <mergeCell ref="P132:T132"/>
    <mergeCell ref="U132:AC132"/>
    <mergeCell ref="A133:H133"/>
    <mergeCell ref="J133:M133"/>
    <mergeCell ref="N133:O133"/>
    <mergeCell ref="Q133:S133"/>
    <mergeCell ref="T133:AC133"/>
    <mergeCell ref="A128:AC128"/>
    <mergeCell ref="A129:H129"/>
    <mergeCell ref="I129:O129"/>
    <mergeCell ref="P129:T129"/>
    <mergeCell ref="U129:AC129"/>
    <mergeCell ref="A130:H130"/>
    <mergeCell ref="J130:M130"/>
    <mergeCell ref="N130:O130"/>
    <mergeCell ref="Q130:S130"/>
    <mergeCell ref="T130:AC130"/>
    <mergeCell ref="A127:L127"/>
    <mergeCell ref="M127:O127"/>
    <mergeCell ref="P127:R127"/>
    <mergeCell ref="S127:U127"/>
    <mergeCell ref="V127:Z127"/>
    <mergeCell ref="AA127:AC127"/>
    <mergeCell ref="A126:L126"/>
    <mergeCell ref="M126:O126"/>
    <mergeCell ref="P126:R126"/>
    <mergeCell ref="S126:U126"/>
    <mergeCell ref="V126:Z126"/>
    <mergeCell ref="AA126:AC126"/>
    <mergeCell ref="A125:L125"/>
    <mergeCell ref="M125:O125"/>
    <mergeCell ref="P125:R125"/>
    <mergeCell ref="S125:U125"/>
    <mergeCell ref="V125:Z125"/>
    <mergeCell ref="AA125:AC125"/>
    <mergeCell ref="A124:L124"/>
    <mergeCell ref="M124:O124"/>
    <mergeCell ref="P124:R124"/>
    <mergeCell ref="S124:U124"/>
    <mergeCell ref="V124:Z124"/>
    <mergeCell ref="AA124:AC124"/>
    <mergeCell ref="A122:AC122"/>
    <mergeCell ref="A123:L123"/>
    <mergeCell ref="M123:O123"/>
    <mergeCell ref="P123:R123"/>
    <mergeCell ref="S123:U123"/>
    <mergeCell ref="V123:Z123"/>
    <mergeCell ref="AA123:AC123"/>
    <mergeCell ref="A121:L121"/>
    <mergeCell ref="M121:O121"/>
    <mergeCell ref="P121:R121"/>
    <mergeCell ref="S121:U121"/>
    <mergeCell ref="V121:Z121"/>
    <mergeCell ref="AA121:AC121"/>
    <mergeCell ref="A120:L120"/>
    <mergeCell ref="M120:O120"/>
    <mergeCell ref="P120:R120"/>
    <mergeCell ref="S120:U120"/>
    <mergeCell ref="V120:Z120"/>
    <mergeCell ref="AA120:AC120"/>
    <mergeCell ref="A119:L119"/>
    <mergeCell ref="M119:O119"/>
    <mergeCell ref="P119:R119"/>
    <mergeCell ref="S119:U119"/>
    <mergeCell ref="V119:Z119"/>
    <mergeCell ref="AA119:AC119"/>
    <mergeCell ref="A118:L118"/>
    <mergeCell ref="M118:O118"/>
    <mergeCell ref="P118:R118"/>
    <mergeCell ref="S118:U118"/>
    <mergeCell ref="V118:Z118"/>
    <mergeCell ref="AA118:AC118"/>
    <mergeCell ref="A115:AC115"/>
    <mergeCell ref="A116:AC116"/>
    <mergeCell ref="A117:L117"/>
    <mergeCell ref="M117:O117"/>
    <mergeCell ref="P117:R117"/>
    <mergeCell ref="S117:U117"/>
    <mergeCell ref="V117:Z117"/>
    <mergeCell ref="AA117:AC117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44:AC44"/>
    <mergeCell ref="A45:AC45"/>
    <mergeCell ref="A46:K46"/>
    <mergeCell ref="L46:N46"/>
    <mergeCell ref="O46:Q46"/>
    <mergeCell ref="R46:S46"/>
    <mergeCell ref="T46:V46"/>
    <mergeCell ref="W46:AA46"/>
    <mergeCell ref="AB46:AC46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3" r:id="rId1"/>
  <rowBreaks count="2" manualBreakCount="2">
    <brk id="44" max="255" man="1"/>
    <brk id="11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ShabalinaOV</dc:creator>
  <cp:keywords/>
  <dc:description/>
  <cp:lastModifiedBy>ShabalinaOV</cp:lastModifiedBy>
  <cp:lastPrinted>2016-10-05T04:01:08Z</cp:lastPrinted>
  <dcterms:created xsi:type="dcterms:W3CDTF">2016-09-29T11:51:00Z</dcterms:created>
  <dcterms:modified xsi:type="dcterms:W3CDTF">2016-10-20T05:11:52Z</dcterms:modified>
  <cp:category/>
  <cp:version/>
  <cp:contentType/>
  <cp:contentStatus/>
</cp:coreProperties>
</file>