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<sst xmlns="http://schemas.openxmlformats.org/spreadsheetml/2006/main" count="569" uniqueCount="201">
  <si>
    <t>ОТЧЕТ ОБ ИСПОЛНЕНИИ БЮДЖЕТА</t>
  </si>
  <si>
    <t>КОДЫ</t>
  </si>
  <si>
    <t xml:space="preserve">Форма по ОКУД </t>
  </si>
  <si>
    <t>0503117</t>
  </si>
  <si>
    <t>на 1 ноября 2017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</si>
  <si>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</si>
  <si>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</si>
  <si>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</si>
  <si>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</si>
  <si>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</si>
  <si>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</si>
  <si>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</si>
  <si>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</si>
  <si>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</si>
  <si>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</si>
  <si>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</si>
  <si>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</si>
  <si>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</si>
  <si>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</si>
  <si>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</si>
  <si>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</si>
  <si>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</si>
  <si>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</si>
  <si>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</si>
  <si>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</si>
  <si>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</si>
  <si>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</si>
  <si>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</si>
  <si>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</si>
  <si>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</si>
  <si>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</si>
  <si>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</si>
  <si>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</si>
  <si>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</si>
  <si>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</si>
  <si>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</si>
  <si>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</si>
  <si>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</si>
  <si>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</si>
  <si>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</si>
  <si>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</si>
  <si>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</si>
  <si>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</si>
  <si>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</si>
  <si>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</si>
  <si>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</si>
  <si>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</si>
  <si>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</si>
  <si>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</si>
  <si>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</si>
  <si>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</si>
  <si>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</si>
  <si>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</si>
  <si>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</si>
  <si>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</si>
  <si>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</si>
  <si>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</si>
  <si>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</si>
  <si>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</si>
  <si>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</si>
  <si>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</si>
  <si>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</si>
  <si>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</si>
  <si>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</si>
  <si>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</si>
  <si>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</si>
  <si>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</si>
  <si>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</si>
  <si>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</si>
  <si>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</si>
  <si>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</si>
  <si>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</si>
  <si>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</si>
  <si>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</si>
  <si>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</si>
  <si>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</si>
  <si>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</si>
  <si>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</si>
  <si>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</si>
  <si>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</si>
  <si>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</si>
  <si>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</si>
  <si>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</si>
  <si>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</si>
  <si>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</si>
  <si>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</si>
  <si>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</si>
  <si>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</si>
  <si>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</si>
  <si>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</si>
  <si>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</si>
  <si>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</si>
  <si>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</si>
  <si>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</si>
  <si>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</si>
  <si>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</si>
  <si>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</si>
  <si>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</si>
  <si>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</si>
  <si>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</si>
  <si>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</si>
  <si>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</si>
  <si>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</si>
  <si>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</si>
  <si>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</si>
  <si>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</si>
  <si>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</si>
  <si>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</si>
  <si>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</si>
  <si>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</si>
  <si>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</si>
  <si>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</si>
  <si>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выплаты</t>
  </si>
  <si>
    <t>650 0104 2000102040 122</t>
  </si>
  <si>
    <t>212</t>
  </si>
  <si>
    <t>650 0104 5010002040 121</t>
  </si>
  <si>
    <t>650 0104 5010002040 122</t>
  </si>
  <si>
    <t>650 0104 5010002040 129</t>
  </si>
  <si>
    <t>Прочие расходы</t>
  </si>
  <si>
    <t>650 0107 5030000030 244</t>
  </si>
  <si>
    <t>290</t>
  </si>
  <si>
    <t>650 0111 5000020940 870</t>
  </si>
  <si>
    <t>Увеличение стоимости основных средств</t>
  </si>
  <si>
    <t>650 0113 1600120964 412</t>
  </si>
  <si>
    <t>310</t>
  </si>
  <si>
    <t>Прочие работы, услуги</t>
  </si>
  <si>
    <t>650 0113 2000199990 244</t>
  </si>
  <si>
    <t>226</t>
  </si>
  <si>
    <t>650 0113 5020000600 111</t>
  </si>
  <si>
    <t>650 0113 5020000600 112</t>
  </si>
  <si>
    <t>650 0113 5020000600 119</t>
  </si>
  <si>
    <t>Услуги связи</t>
  </si>
  <si>
    <t>650 0113 5020000600 244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</si>
  <si>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</si>
  <si>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</si>
  <si>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</si>
  <si>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</si>
  <si>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</si>
  <si>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</si>
  <si>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</si>
  <si>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650 0113 5020000600 852</t>
  </si>
  <si>
    <t>650 0113 5020000600 853</t>
  </si>
  <si>
    <t>650 0113 5030009200 360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</si>
  <si>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</si>
  <si>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</si>
  <si>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</si>
  <si>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</si>
  <si>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650 0113 5030009300 360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</si>
  <si>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</si>
  <si>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</si>
  <si>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</si>
  <si>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</si>
  <si>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</si>
  <si>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0203 50000F1180 121</t>
  </si>
  <si>
    <t>650 0203 50000F1180 129</t>
  </si>
  <si>
    <t>650 0309 5030003090 244</t>
  </si>
  <si>
    <t>650 0314 1000182300 123</t>
  </si>
  <si>
    <t>650 0314 10001S2300 123</t>
  </si>
  <si>
    <t>650 0314 2100199990 244</t>
  </si>
  <si>
    <t>650 0409 1500399990 244</t>
  </si>
  <si>
    <t>650 0410 0400199990 242</t>
  </si>
  <si>
    <t>650 0410 0400420070 242</t>
  </si>
  <si>
    <t>650 0501 0820220672 412</t>
  </si>
  <si>
    <t>650 0501 0820399990 244</t>
  </si>
  <si>
    <t>650 0501 1600199990 244</t>
  </si>
  <si>
    <t>650 0501 1600199990 412</t>
  </si>
  <si>
    <t>650 0503 0900199990 244</t>
  </si>
  <si>
    <t>650 0503 0920320616 244</t>
  </si>
  <si>
    <t>650 0707 0100199990 244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</si>
  <si>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</si>
  <si>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</si>
  <si>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</si>
  <si>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</si>
  <si>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</si>
  <si>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</si>
  <si>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</si>
  <si>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</si>
  <si>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</si>
  <si>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</si>
  <si>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</si>
  <si>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</si>
  <si>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</si>
  <si>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</si>
  <si>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</si>
  <si>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</si>
  <si>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</si>
  <si>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</si>
  <si>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</si>
  <si>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</si>
  <si>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</si>
  <si>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</si>
  <si>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</si>
  <si>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</si>
  <si>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</si>
  <si>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</si>
  <si>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</si>
  <si>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</si>
  <si>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</si>
  <si>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</si>
  <si>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</si>
  <si>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2 ноября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</si>
</sst>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abSelected="1" zoomScalePageLayoutView="0" workbookViewId="0" topLeftCell="A34">
      <selection activeCell="AG48" sqref="AG4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43040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24</v>
      </c>
      <c r="N10" s="45"/>
      <c r="O10" s="45"/>
      <c r="P10" s="45" t="s">
        <v>25</v>
      </c>
      <c r="Q10" s="45"/>
      <c r="R10" s="45"/>
      <c r="S10" s="46" t="s">
        <v>26</v>
      </c>
      <c r="T10" s="46"/>
      <c r="U10" s="46"/>
      <c r="V10" s="46" t="s">
        <v>27</v>
      </c>
      <c r="W10" s="46"/>
      <c r="X10" s="46"/>
      <c r="Y10" s="46"/>
      <c r="Z10" s="46"/>
      <c r="AA10" s="47" t="s">
        <v>28</v>
      </c>
      <c r="AB10" s="47"/>
      <c r="AC10" s="47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2" t="s">
        <v>34</v>
      </c>
      <c r="AB11" s="42"/>
      <c r="AC11" s="42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f>55350273.29</f>
        <v>55350273.29</v>
      </c>
      <c r="T12" s="38"/>
      <c r="U12" s="38"/>
      <c r="V12" s="38">
        <f>53559217.56</f>
        <v>53559217.56</v>
      </c>
      <c r="W12" s="38"/>
      <c r="X12" s="38"/>
      <c r="Y12" s="38"/>
      <c r="Z12" s="38"/>
      <c r="AA12" s="54">
        <f>1791055.73</f>
        <v>1791055.73</v>
      </c>
      <c r="AB12" s="54"/>
      <c r="AC12" s="54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143049.38</f>
        <v>143049.38</v>
      </c>
      <c r="T13" s="56"/>
      <c r="U13" s="56"/>
      <c r="V13" s="56">
        <f>132742.11</f>
        <v>132742.11</v>
      </c>
      <c r="W13" s="56"/>
      <c r="X13" s="56"/>
      <c r="Y13" s="56"/>
      <c r="Z13" s="56"/>
      <c r="AA13" s="57">
        <f>10307.27</f>
        <v>10307.27</v>
      </c>
      <c r="AB13" s="57"/>
      <c r="AC13" s="57"/>
    </row>
    <row r="14" spans="1:29" s="1" customFormat="1" ht="54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6">
        <f>1338.25</f>
        <v>1338.25</v>
      </c>
      <c r="T14" s="56"/>
      <c r="U14" s="56"/>
      <c r="V14" s="56">
        <f>1390.06</f>
        <v>1390.06</v>
      </c>
      <c r="W14" s="56"/>
      <c r="X14" s="56"/>
      <c r="Y14" s="56"/>
      <c r="Z14" s="56"/>
      <c r="AA14" s="58" t="s">
        <v>42</v>
      </c>
      <c r="AB14" s="58"/>
      <c r="AC14" s="58"/>
    </row>
    <row r="15" spans="1:29" s="1" customFormat="1" ht="45" customHeight="1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44</v>
      </c>
      <c r="Q15" s="29"/>
      <c r="R15" s="29"/>
      <c r="S15" s="56">
        <f>266164.06</f>
        <v>266164.06</v>
      </c>
      <c r="T15" s="56"/>
      <c r="U15" s="56"/>
      <c r="V15" s="56">
        <f>218570.13</f>
        <v>218570.13</v>
      </c>
      <c r="W15" s="56"/>
      <c r="X15" s="56"/>
      <c r="Y15" s="56"/>
      <c r="Z15" s="56"/>
      <c r="AA15" s="57">
        <f>47593.93</f>
        <v>47593.93</v>
      </c>
      <c r="AB15" s="57"/>
      <c r="AC15" s="57"/>
    </row>
    <row r="16" spans="1:29" s="1" customFormat="1" ht="45" customHeight="1">
      <c r="A16" s="27" t="s">
        <v>45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46</v>
      </c>
      <c r="Q16" s="29"/>
      <c r="R16" s="29"/>
      <c r="S16" s="56">
        <f>0</f>
        <v>0</v>
      </c>
      <c r="T16" s="56"/>
      <c r="U16" s="56"/>
      <c r="V16" s="56">
        <f>-25907.3</f>
        <v>-25907.3</v>
      </c>
      <c r="W16" s="56"/>
      <c r="X16" s="56"/>
      <c r="Y16" s="56"/>
      <c r="Z16" s="56"/>
      <c r="AA16" s="58" t="s">
        <v>42</v>
      </c>
      <c r="AB16" s="58"/>
      <c r="AC16" s="58"/>
    </row>
    <row r="17" spans="1:29" s="1" customFormat="1" ht="45" customHeight="1">
      <c r="A17" s="27" t="s">
        <v>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48</v>
      </c>
      <c r="Q17" s="29"/>
      <c r="R17" s="29"/>
      <c r="S17" s="56">
        <f>10655000</f>
        <v>10655000</v>
      </c>
      <c r="T17" s="56"/>
      <c r="U17" s="56"/>
      <c r="V17" s="31" t="s">
        <v>42</v>
      </c>
      <c r="W17" s="31"/>
      <c r="X17" s="31"/>
      <c r="Y17" s="31"/>
      <c r="Z17" s="31"/>
      <c r="AA17" s="57">
        <f>10655000</f>
        <v>10655000</v>
      </c>
      <c r="AB17" s="57"/>
      <c r="AC17" s="57"/>
    </row>
    <row r="18" spans="1:29" s="1" customFormat="1" ht="4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42</v>
      </c>
      <c r="T18" s="31"/>
      <c r="U18" s="31"/>
      <c r="V18" s="56">
        <f>10107267.13</f>
        <v>10107267.13</v>
      </c>
      <c r="W18" s="56"/>
      <c r="X18" s="56"/>
      <c r="Y18" s="56"/>
      <c r="Z18" s="56"/>
      <c r="AA18" s="58" t="s">
        <v>42</v>
      </c>
      <c r="AB18" s="58"/>
      <c r="AC18" s="58"/>
    </row>
    <row r="19" spans="1:29" s="1" customFormat="1" ht="45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42</v>
      </c>
      <c r="T19" s="31"/>
      <c r="U19" s="31"/>
      <c r="V19" s="56">
        <f>22565.09</f>
        <v>22565.09</v>
      </c>
      <c r="W19" s="56"/>
      <c r="X19" s="56"/>
      <c r="Y19" s="56"/>
      <c r="Z19" s="56"/>
      <c r="AA19" s="58" t="s">
        <v>42</v>
      </c>
      <c r="AB19" s="58"/>
      <c r="AC19" s="58"/>
    </row>
    <row r="20" spans="1:29" s="1" customFormat="1" ht="4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42</v>
      </c>
      <c r="T20" s="31"/>
      <c r="U20" s="31"/>
      <c r="V20" s="56">
        <f>21625.21</f>
        <v>21625.21</v>
      </c>
      <c r="W20" s="56"/>
      <c r="X20" s="56"/>
      <c r="Y20" s="56"/>
      <c r="Z20" s="56"/>
      <c r="AA20" s="58" t="s">
        <v>42</v>
      </c>
      <c r="AB20" s="58"/>
      <c r="AC20" s="58"/>
    </row>
    <row r="21" spans="1:29" s="1" customFormat="1" ht="66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31" t="s">
        <v>42</v>
      </c>
      <c r="T21" s="31"/>
      <c r="U21" s="31"/>
      <c r="V21" s="56">
        <f>121510.15</f>
        <v>121510.15</v>
      </c>
      <c r="W21" s="56"/>
      <c r="X21" s="56"/>
      <c r="Y21" s="56"/>
      <c r="Z21" s="56"/>
      <c r="AA21" s="58" t="s">
        <v>42</v>
      </c>
      <c r="AB21" s="58"/>
      <c r="AC21" s="58"/>
    </row>
    <row r="22" spans="1:29" s="1" customFormat="1" ht="24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55</v>
      </c>
      <c r="Q22" s="29"/>
      <c r="R22" s="29"/>
      <c r="S22" s="31" t="s">
        <v>42</v>
      </c>
      <c r="T22" s="31"/>
      <c r="U22" s="31"/>
      <c r="V22" s="56">
        <f>10920</f>
        <v>10920</v>
      </c>
      <c r="W22" s="56"/>
      <c r="X22" s="56"/>
      <c r="Y22" s="56"/>
      <c r="Z22" s="56"/>
      <c r="AA22" s="58" t="s">
        <v>42</v>
      </c>
      <c r="AB22" s="58"/>
      <c r="AC22" s="58"/>
    </row>
    <row r="23" spans="1:29" s="1" customFormat="1" ht="24" customHeight="1">
      <c r="A23" s="27" t="s">
        <v>54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56</v>
      </c>
      <c r="Q23" s="29"/>
      <c r="R23" s="29"/>
      <c r="S23" s="31" t="s">
        <v>42</v>
      </c>
      <c r="T23" s="31"/>
      <c r="U23" s="31"/>
      <c r="V23" s="56">
        <f>11.7</f>
        <v>11.7</v>
      </c>
      <c r="W23" s="56"/>
      <c r="X23" s="56"/>
      <c r="Y23" s="56"/>
      <c r="Z23" s="56"/>
      <c r="AA23" s="58" t="s">
        <v>42</v>
      </c>
      <c r="AB23" s="58"/>
      <c r="AC23" s="58"/>
    </row>
    <row r="24" spans="1:29" s="1" customFormat="1" ht="24" customHeight="1">
      <c r="A24" s="27" t="s">
        <v>54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57</v>
      </c>
      <c r="Q24" s="29"/>
      <c r="R24" s="29"/>
      <c r="S24" s="31" t="s">
        <v>42</v>
      </c>
      <c r="T24" s="31"/>
      <c r="U24" s="31"/>
      <c r="V24" s="56">
        <f>50</f>
        <v>50</v>
      </c>
      <c r="W24" s="56"/>
      <c r="X24" s="56"/>
      <c r="Y24" s="56"/>
      <c r="Z24" s="56"/>
      <c r="AA24" s="58" t="s">
        <v>42</v>
      </c>
      <c r="AB24" s="58"/>
      <c r="AC24" s="58"/>
    </row>
    <row r="25" spans="1:29" s="1" customFormat="1" ht="13.5" customHeight="1">
      <c r="A25" s="27" t="s">
        <v>58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59</v>
      </c>
      <c r="Q25" s="29"/>
      <c r="R25" s="29"/>
      <c r="S25" s="56">
        <f>113000</f>
        <v>113000</v>
      </c>
      <c r="T25" s="56"/>
      <c r="U25" s="56"/>
      <c r="V25" s="31" t="s">
        <v>42</v>
      </c>
      <c r="W25" s="31"/>
      <c r="X25" s="31"/>
      <c r="Y25" s="31"/>
      <c r="Z25" s="31"/>
      <c r="AA25" s="57">
        <f>113000</f>
        <v>113000</v>
      </c>
      <c r="AB25" s="57"/>
      <c r="AC25" s="57"/>
    </row>
    <row r="26" spans="1:29" s="1" customFormat="1" ht="13.5" customHeight="1">
      <c r="A26" s="27" t="s">
        <v>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60</v>
      </c>
      <c r="Q26" s="29"/>
      <c r="R26" s="29"/>
      <c r="S26" s="31" t="s">
        <v>42</v>
      </c>
      <c r="T26" s="31"/>
      <c r="U26" s="31"/>
      <c r="V26" s="56">
        <f>135335.78</f>
        <v>135335.78</v>
      </c>
      <c r="W26" s="56"/>
      <c r="X26" s="56"/>
      <c r="Y26" s="56"/>
      <c r="Z26" s="56"/>
      <c r="AA26" s="58" t="s">
        <v>42</v>
      </c>
      <c r="AB26" s="58"/>
      <c r="AC26" s="58"/>
    </row>
    <row r="27" spans="1:29" s="1" customFormat="1" ht="13.5" customHeight="1">
      <c r="A27" s="27" t="s">
        <v>58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61</v>
      </c>
      <c r="Q27" s="29"/>
      <c r="R27" s="29"/>
      <c r="S27" s="31" t="s">
        <v>42</v>
      </c>
      <c r="T27" s="31"/>
      <c r="U27" s="31"/>
      <c r="V27" s="56">
        <f>182.98</f>
        <v>182.98</v>
      </c>
      <c r="W27" s="56"/>
      <c r="X27" s="56"/>
      <c r="Y27" s="56"/>
      <c r="Z27" s="56"/>
      <c r="AA27" s="58" t="s">
        <v>42</v>
      </c>
      <c r="AB27" s="58"/>
      <c r="AC27" s="58"/>
    </row>
    <row r="28" spans="1:29" s="1" customFormat="1" ht="13.5" customHeight="1">
      <c r="A28" s="27" t="s">
        <v>58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62</v>
      </c>
      <c r="Q28" s="29"/>
      <c r="R28" s="29"/>
      <c r="S28" s="31" t="s">
        <v>42</v>
      </c>
      <c r="T28" s="31"/>
      <c r="U28" s="31"/>
      <c r="V28" s="56">
        <f>500</f>
        <v>500</v>
      </c>
      <c r="W28" s="56"/>
      <c r="X28" s="56"/>
      <c r="Y28" s="56"/>
      <c r="Z28" s="56"/>
      <c r="AA28" s="58" t="s">
        <v>42</v>
      </c>
      <c r="AB28" s="58"/>
      <c r="AC28" s="58"/>
    </row>
    <row r="29" spans="1:29" s="1" customFormat="1" ht="24" customHeight="1">
      <c r="A29" s="27" t="s">
        <v>63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56">
        <f>300000</f>
        <v>300000</v>
      </c>
      <c r="T29" s="56"/>
      <c r="U29" s="56"/>
      <c r="V29" s="31" t="s">
        <v>42</v>
      </c>
      <c r="W29" s="31"/>
      <c r="X29" s="31"/>
      <c r="Y29" s="31"/>
      <c r="Z29" s="31"/>
      <c r="AA29" s="57">
        <f>300000</f>
        <v>300000</v>
      </c>
      <c r="AB29" s="57"/>
      <c r="AC29" s="57"/>
    </row>
    <row r="30" spans="1:29" s="1" customFormat="1" ht="33.75" customHeight="1">
      <c r="A30" s="27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66</v>
      </c>
      <c r="Q30" s="29"/>
      <c r="R30" s="29"/>
      <c r="S30" s="31" t="s">
        <v>42</v>
      </c>
      <c r="T30" s="31"/>
      <c r="U30" s="31"/>
      <c r="V30" s="56">
        <f>116049.71</f>
        <v>116049.71</v>
      </c>
      <c r="W30" s="56"/>
      <c r="X30" s="56"/>
      <c r="Y30" s="56"/>
      <c r="Z30" s="56"/>
      <c r="AA30" s="58" t="s">
        <v>42</v>
      </c>
      <c r="AB30" s="58"/>
      <c r="AC30" s="58"/>
    </row>
    <row r="31" spans="1:29" s="1" customFormat="1" ht="33.75" customHeight="1">
      <c r="A31" s="27" t="s">
        <v>65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67</v>
      </c>
      <c r="Q31" s="29"/>
      <c r="R31" s="29"/>
      <c r="S31" s="31" t="s">
        <v>42</v>
      </c>
      <c r="T31" s="31"/>
      <c r="U31" s="31"/>
      <c r="V31" s="56">
        <f>8420.96</f>
        <v>8420.96</v>
      </c>
      <c r="W31" s="56"/>
      <c r="X31" s="56"/>
      <c r="Y31" s="56"/>
      <c r="Z31" s="56"/>
      <c r="AA31" s="58" t="s">
        <v>42</v>
      </c>
      <c r="AB31" s="58"/>
      <c r="AC31" s="58"/>
    </row>
    <row r="32" spans="1:29" s="1" customFormat="1" ht="33.75" customHeight="1">
      <c r="A32" s="27" t="s">
        <v>65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68</v>
      </c>
      <c r="Q32" s="29"/>
      <c r="R32" s="29"/>
      <c r="S32" s="31" t="s">
        <v>42</v>
      </c>
      <c r="T32" s="31"/>
      <c r="U32" s="31"/>
      <c r="V32" s="56">
        <f>-5.34</f>
        <v>-5.34</v>
      </c>
      <c r="W32" s="56"/>
      <c r="X32" s="56"/>
      <c r="Y32" s="56"/>
      <c r="Z32" s="56"/>
      <c r="AA32" s="58" t="s">
        <v>42</v>
      </c>
      <c r="AB32" s="58"/>
      <c r="AC32" s="58"/>
    </row>
    <row r="33" spans="1:29" s="1" customFormat="1" ht="24" customHeight="1">
      <c r="A33" s="27" t="s">
        <v>69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70</v>
      </c>
      <c r="Q33" s="29"/>
      <c r="R33" s="29"/>
      <c r="S33" s="56">
        <f>120000</f>
        <v>120000</v>
      </c>
      <c r="T33" s="56"/>
      <c r="U33" s="56"/>
      <c r="V33" s="31" t="s">
        <v>42</v>
      </c>
      <c r="W33" s="31"/>
      <c r="X33" s="31"/>
      <c r="Y33" s="31"/>
      <c r="Z33" s="31"/>
      <c r="AA33" s="57">
        <f>120000</f>
        <v>120000</v>
      </c>
      <c r="AB33" s="57"/>
      <c r="AC33" s="57"/>
    </row>
    <row r="34" spans="1:29" s="1" customFormat="1" ht="24" customHeight="1">
      <c r="A34" s="27" t="s">
        <v>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72</v>
      </c>
      <c r="Q34" s="29"/>
      <c r="R34" s="29"/>
      <c r="S34" s="31" t="s">
        <v>42</v>
      </c>
      <c r="T34" s="31"/>
      <c r="U34" s="31"/>
      <c r="V34" s="56">
        <f>81402</f>
        <v>81402</v>
      </c>
      <c r="W34" s="56"/>
      <c r="X34" s="56"/>
      <c r="Y34" s="56"/>
      <c r="Z34" s="56"/>
      <c r="AA34" s="58" t="s">
        <v>42</v>
      </c>
      <c r="AB34" s="58"/>
      <c r="AC34" s="58"/>
    </row>
    <row r="35" spans="1:29" s="1" customFormat="1" ht="24" customHeight="1">
      <c r="A35" s="27" t="s">
        <v>71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73</v>
      </c>
      <c r="Q35" s="29"/>
      <c r="R35" s="29"/>
      <c r="S35" s="31" t="s">
        <v>42</v>
      </c>
      <c r="T35" s="31"/>
      <c r="U35" s="31"/>
      <c r="V35" s="56">
        <f>535.88</f>
        <v>535.88</v>
      </c>
      <c r="W35" s="56"/>
      <c r="X35" s="56"/>
      <c r="Y35" s="56"/>
      <c r="Z35" s="56"/>
      <c r="AA35" s="58" t="s">
        <v>42</v>
      </c>
      <c r="AB35" s="58"/>
      <c r="AC35" s="58"/>
    </row>
    <row r="36" spans="1:29" s="1" customFormat="1" ht="24" customHeight="1">
      <c r="A36" s="27" t="s">
        <v>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75</v>
      </c>
      <c r="Q36" s="29"/>
      <c r="R36" s="29"/>
      <c r="S36" s="56">
        <f>5000</f>
        <v>5000</v>
      </c>
      <c r="T36" s="56"/>
      <c r="U36" s="56"/>
      <c r="V36" s="31" t="s">
        <v>42</v>
      </c>
      <c r="W36" s="31"/>
      <c r="X36" s="31"/>
      <c r="Y36" s="31"/>
      <c r="Z36" s="31"/>
      <c r="AA36" s="57">
        <f>5000</f>
        <v>5000</v>
      </c>
      <c r="AB36" s="57"/>
      <c r="AC36" s="57"/>
    </row>
    <row r="37" spans="1:29" s="1" customFormat="1" ht="24" customHeight="1">
      <c r="A37" s="27" t="s">
        <v>76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77</v>
      </c>
      <c r="Q37" s="29"/>
      <c r="R37" s="29"/>
      <c r="S37" s="31" t="s">
        <v>42</v>
      </c>
      <c r="T37" s="31"/>
      <c r="U37" s="31"/>
      <c r="V37" s="56">
        <f>5069.84</f>
        <v>5069.84</v>
      </c>
      <c r="W37" s="56"/>
      <c r="X37" s="56"/>
      <c r="Y37" s="56"/>
      <c r="Z37" s="56"/>
      <c r="AA37" s="58" t="s">
        <v>42</v>
      </c>
      <c r="AB37" s="58"/>
      <c r="AC37" s="58"/>
    </row>
    <row r="38" spans="1:29" s="1" customFormat="1" ht="24" customHeight="1">
      <c r="A38" s="27" t="s">
        <v>76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78</v>
      </c>
      <c r="Q38" s="29"/>
      <c r="R38" s="29"/>
      <c r="S38" s="31" t="s">
        <v>42</v>
      </c>
      <c r="T38" s="31"/>
      <c r="U38" s="31"/>
      <c r="V38" s="56">
        <f>385.17</f>
        <v>385.17</v>
      </c>
      <c r="W38" s="56"/>
      <c r="X38" s="56"/>
      <c r="Y38" s="56"/>
      <c r="Z38" s="56"/>
      <c r="AA38" s="58" t="s">
        <v>42</v>
      </c>
      <c r="AB38" s="58"/>
      <c r="AC38" s="58"/>
    </row>
    <row r="39" spans="1:29" s="1" customFormat="1" ht="45" customHeight="1">
      <c r="A39" s="27" t="s">
        <v>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80</v>
      </c>
      <c r="Q39" s="29"/>
      <c r="R39" s="29"/>
      <c r="S39" s="56">
        <f>32000</f>
        <v>32000</v>
      </c>
      <c r="T39" s="56"/>
      <c r="U39" s="56"/>
      <c r="V39" s="31" t="s">
        <v>42</v>
      </c>
      <c r="W39" s="31"/>
      <c r="X39" s="31"/>
      <c r="Y39" s="31"/>
      <c r="Z39" s="31"/>
      <c r="AA39" s="57">
        <f>32000</f>
        <v>32000</v>
      </c>
      <c r="AB39" s="57"/>
      <c r="AC39" s="57"/>
    </row>
    <row r="40" spans="1:29" s="1" customFormat="1" ht="45" customHeight="1">
      <c r="A40" s="27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81</v>
      </c>
      <c r="Q40" s="29"/>
      <c r="R40" s="29"/>
      <c r="S40" s="31" t="s">
        <v>42</v>
      </c>
      <c r="T40" s="31"/>
      <c r="U40" s="31"/>
      <c r="V40" s="56">
        <f>9630</f>
        <v>9630</v>
      </c>
      <c r="W40" s="56"/>
      <c r="X40" s="56"/>
      <c r="Y40" s="56"/>
      <c r="Z40" s="56"/>
      <c r="AA40" s="58" t="s">
        <v>42</v>
      </c>
      <c r="AB40" s="58"/>
      <c r="AC40" s="58"/>
    </row>
    <row r="41" spans="1:29" s="1" customFormat="1" ht="24" customHeight="1">
      <c r="A41" s="27" t="s">
        <v>82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83</v>
      </c>
      <c r="Q41" s="29"/>
      <c r="R41" s="29"/>
      <c r="S41" s="56">
        <f>240000</f>
        <v>240000</v>
      </c>
      <c r="T41" s="56"/>
      <c r="U41" s="56"/>
      <c r="V41" s="56">
        <f>208340</f>
        <v>208340</v>
      </c>
      <c r="W41" s="56"/>
      <c r="X41" s="56"/>
      <c r="Y41" s="56"/>
      <c r="Z41" s="56"/>
      <c r="AA41" s="57">
        <f>31660</f>
        <v>31660</v>
      </c>
      <c r="AB41" s="57"/>
      <c r="AC41" s="57"/>
    </row>
    <row r="42" spans="1:29" s="1" customFormat="1" ht="45" customHeight="1">
      <c r="A42" s="27" t="s">
        <v>84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85</v>
      </c>
      <c r="Q42" s="29"/>
      <c r="R42" s="29"/>
      <c r="S42" s="56">
        <f>80000</f>
        <v>80000</v>
      </c>
      <c r="T42" s="56"/>
      <c r="U42" s="56"/>
      <c r="V42" s="56">
        <f>62086.46</f>
        <v>62086.46</v>
      </c>
      <c r="W42" s="56"/>
      <c r="X42" s="56"/>
      <c r="Y42" s="56"/>
      <c r="Z42" s="56"/>
      <c r="AA42" s="57">
        <f>17913.54</f>
        <v>17913.54</v>
      </c>
      <c r="AB42" s="57"/>
      <c r="AC42" s="57"/>
    </row>
    <row r="43" spans="1:29" s="1" customFormat="1" ht="13.5" customHeight="1">
      <c r="A43" s="27" t="s">
        <v>86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87</v>
      </c>
      <c r="Q43" s="29"/>
      <c r="R43" s="29"/>
      <c r="S43" s="31" t="s">
        <v>42</v>
      </c>
      <c r="T43" s="31"/>
      <c r="U43" s="31"/>
      <c r="V43" s="56">
        <f>6655.2</f>
        <v>6655.2</v>
      </c>
      <c r="W43" s="56"/>
      <c r="X43" s="56"/>
      <c r="Y43" s="56"/>
      <c r="Z43" s="56"/>
      <c r="AA43" s="58" t="s">
        <v>42</v>
      </c>
      <c r="AB43" s="58"/>
      <c r="AC43" s="58"/>
    </row>
    <row r="44" spans="1:29" s="1" customFormat="1" ht="13.5" customHeight="1">
      <c r="A44" s="27" t="s">
        <v>88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36</v>
      </c>
      <c r="N44" s="29"/>
      <c r="O44" s="29"/>
      <c r="P44" s="29" t="s">
        <v>89</v>
      </c>
      <c r="Q44" s="29"/>
      <c r="R44" s="29"/>
      <c r="S44" s="56">
        <f>5290000</f>
        <v>5290000</v>
      </c>
      <c r="T44" s="56"/>
      <c r="U44" s="56"/>
      <c r="V44" s="56">
        <f>5466094.45</f>
        <v>5466094.45</v>
      </c>
      <c r="W44" s="56"/>
      <c r="X44" s="56"/>
      <c r="Y44" s="56"/>
      <c r="Z44" s="56"/>
      <c r="AA44" s="58" t="s">
        <v>42</v>
      </c>
      <c r="AB44" s="58"/>
      <c r="AC44" s="58"/>
    </row>
    <row r="45" spans="1:29" s="1" customFormat="1" ht="54.75" customHeight="1">
      <c r="A45" s="27" t="s">
        <v>90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36</v>
      </c>
      <c r="N45" s="29"/>
      <c r="O45" s="29"/>
      <c r="P45" s="29" t="s">
        <v>91</v>
      </c>
      <c r="Q45" s="29"/>
      <c r="R45" s="29"/>
      <c r="S45" s="56">
        <f>140000</f>
        <v>140000</v>
      </c>
      <c r="T45" s="56"/>
      <c r="U45" s="56"/>
      <c r="V45" s="56">
        <f>140000</f>
        <v>140000</v>
      </c>
      <c r="W45" s="56"/>
      <c r="X45" s="56"/>
      <c r="Y45" s="56"/>
      <c r="Z45" s="56"/>
      <c r="AA45" s="58" t="s">
        <v>42</v>
      </c>
      <c r="AB45" s="58"/>
      <c r="AC45" s="58"/>
    </row>
    <row r="46" spans="1:29" s="1" customFormat="1" ht="24" customHeight="1">
      <c r="A46" s="27" t="s">
        <v>92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9" t="s">
        <v>36</v>
      </c>
      <c r="N46" s="29"/>
      <c r="O46" s="29"/>
      <c r="P46" s="29" t="s">
        <v>93</v>
      </c>
      <c r="Q46" s="29"/>
      <c r="R46" s="29"/>
      <c r="S46" s="56">
        <f>3393800</f>
        <v>3393800</v>
      </c>
      <c r="T46" s="56"/>
      <c r="U46" s="56"/>
      <c r="V46" s="56">
        <f>2963660</f>
        <v>2963660</v>
      </c>
      <c r="W46" s="56"/>
      <c r="X46" s="56"/>
      <c r="Y46" s="56"/>
      <c r="Z46" s="56"/>
      <c r="AA46" s="57">
        <f>430140</f>
        <v>430140</v>
      </c>
      <c r="AB46" s="57"/>
      <c r="AC46" s="57"/>
    </row>
    <row r="47" spans="1:29" s="1" customFormat="1" ht="24" customHeight="1">
      <c r="A47" s="27" t="s">
        <v>94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9" t="s">
        <v>36</v>
      </c>
      <c r="N47" s="29"/>
      <c r="O47" s="29"/>
      <c r="P47" s="29" t="s">
        <v>95</v>
      </c>
      <c r="Q47" s="29"/>
      <c r="R47" s="29"/>
      <c r="S47" s="56">
        <f>15579400</f>
        <v>15579400</v>
      </c>
      <c r="T47" s="56"/>
      <c r="U47" s="56"/>
      <c r="V47" s="56">
        <f>14765710</f>
        <v>14765710</v>
      </c>
      <c r="W47" s="56"/>
      <c r="X47" s="56"/>
      <c r="Y47" s="56"/>
      <c r="Z47" s="56"/>
      <c r="AA47" s="57">
        <f>813690</f>
        <v>813690</v>
      </c>
      <c r="AB47" s="57"/>
      <c r="AC47" s="57"/>
    </row>
    <row r="48" spans="1:29" s="1" customFormat="1" ht="24" customHeight="1">
      <c r="A48" s="27" t="s">
        <v>96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 t="s">
        <v>36</v>
      </c>
      <c r="N48" s="29"/>
      <c r="O48" s="29"/>
      <c r="P48" s="29" t="s">
        <v>97</v>
      </c>
      <c r="Q48" s="29"/>
      <c r="R48" s="29"/>
      <c r="S48" s="56">
        <f>80000</f>
        <v>80000</v>
      </c>
      <c r="T48" s="56"/>
      <c r="U48" s="56"/>
      <c r="V48" s="56">
        <f>71500</f>
        <v>71500</v>
      </c>
      <c r="W48" s="56"/>
      <c r="X48" s="56"/>
      <c r="Y48" s="56"/>
      <c r="Z48" s="56"/>
      <c r="AA48" s="57">
        <f>8500</f>
        <v>8500</v>
      </c>
      <c r="AB48" s="57"/>
      <c r="AC48" s="57"/>
    </row>
    <row r="49" spans="1:29" s="1" customFormat="1" ht="24" customHeight="1">
      <c r="A49" s="27" t="s">
        <v>98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9" t="s">
        <v>36</v>
      </c>
      <c r="N49" s="29"/>
      <c r="O49" s="29"/>
      <c r="P49" s="29" t="s">
        <v>99</v>
      </c>
      <c r="Q49" s="29"/>
      <c r="R49" s="29"/>
      <c r="S49" s="56">
        <f>18911521.6</f>
        <v>18911521.6</v>
      </c>
      <c r="T49" s="56"/>
      <c r="U49" s="56"/>
      <c r="V49" s="56">
        <f>18906920.19</f>
        <v>18906920.19</v>
      </c>
      <c r="W49" s="56"/>
      <c r="X49" s="56"/>
      <c r="Y49" s="56"/>
      <c r="Z49" s="56"/>
      <c r="AA49" s="57">
        <f>4601.41</f>
        <v>4601.41</v>
      </c>
      <c r="AB49" s="57"/>
      <c r="AC49" s="57"/>
    </row>
    <row r="50" spans="1:29" s="1" customFormat="1" ht="13.5" customHeight="1">
      <c r="A50" s="55" t="s">
        <v>11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s="1" customFormat="1" ht="13.5" customHeight="1">
      <c r="A51" s="44" t="s">
        <v>100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1" customFormat="1" ht="34.5" customHeight="1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 t="s">
        <v>24</v>
      </c>
      <c r="M52" s="45"/>
      <c r="N52" s="45"/>
      <c r="O52" s="45" t="s">
        <v>101</v>
      </c>
      <c r="P52" s="45"/>
      <c r="Q52" s="45"/>
      <c r="R52" s="46" t="s">
        <v>102</v>
      </c>
      <c r="S52" s="46"/>
      <c r="T52" s="46" t="s">
        <v>26</v>
      </c>
      <c r="U52" s="46"/>
      <c r="V52" s="46"/>
      <c r="W52" s="46" t="s">
        <v>27</v>
      </c>
      <c r="X52" s="46"/>
      <c r="Y52" s="46"/>
      <c r="Z52" s="46"/>
      <c r="AA52" s="46"/>
      <c r="AB52" s="47" t="s">
        <v>28</v>
      </c>
      <c r="AC52" s="47"/>
    </row>
    <row r="53" spans="1:29" s="1" customFormat="1" ht="13.5" customHeight="1">
      <c r="A53" s="40" t="s">
        <v>29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 t="s">
        <v>30</v>
      </c>
      <c r="M53" s="40"/>
      <c r="N53" s="40"/>
      <c r="O53" s="40" t="s">
        <v>31</v>
      </c>
      <c r="P53" s="40"/>
      <c r="Q53" s="40"/>
      <c r="R53" s="41" t="s">
        <v>32</v>
      </c>
      <c r="S53" s="41"/>
      <c r="T53" s="41" t="s">
        <v>33</v>
      </c>
      <c r="U53" s="41"/>
      <c r="V53" s="41"/>
      <c r="W53" s="41" t="s">
        <v>34</v>
      </c>
      <c r="X53" s="41"/>
      <c r="Y53" s="41"/>
      <c r="Z53" s="41"/>
      <c r="AA53" s="41"/>
      <c r="AB53" s="42" t="s">
        <v>103</v>
      </c>
      <c r="AC53" s="42"/>
    </row>
    <row r="54" spans="1:29" s="1" customFormat="1" ht="13.5" customHeight="1">
      <c r="A54" s="35" t="s">
        <v>104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 t="s">
        <v>105</v>
      </c>
      <c r="M54" s="36"/>
      <c r="N54" s="36"/>
      <c r="O54" s="36" t="s">
        <v>37</v>
      </c>
      <c r="P54" s="36"/>
      <c r="Q54" s="36"/>
      <c r="R54" s="53" t="s">
        <v>37</v>
      </c>
      <c r="S54" s="53"/>
      <c r="T54" s="38">
        <f>80387143.6</f>
        <v>80387143.6</v>
      </c>
      <c r="U54" s="38"/>
      <c r="V54" s="38"/>
      <c r="W54" s="38">
        <f>71711802.78</f>
        <v>71711802.78</v>
      </c>
      <c r="X54" s="38"/>
      <c r="Y54" s="38"/>
      <c r="Z54" s="38"/>
      <c r="AA54" s="38"/>
      <c r="AB54" s="54">
        <f>8675340.82</f>
        <v>8675340.82</v>
      </c>
      <c r="AC54" s="54"/>
    </row>
    <row r="55" spans="1:29" s="1" customFormat="1" ht="13.5" customHeight="1">
      <c r="A55" s="14" t="s">
        <v>106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105</v>
      </c>
      <c r="M55" s="15"/>
      <c r="N55" s="15"/>
      <c r="O55" s="15" t="s">
        <v>107</v>
      </c>
      <c r="P55" s="15"/>
      <c r="Q55" s="15"/>
      <c r="R55" s="23" t="s">
        <v>108</v>
      </c>
      <c r="S55" s="23"/>
      <c r="T55" s="17">
        <f>1300000</f>
        <v>1300000</v>
      </c>
      <c r="U55" s="17"/>
      <c r="V55" s="17"/>
      <c r="W55" s="17">
        <f>1244561</f>
        <v>1244561</v>
      </c>
      <c r="X55" s="17"/>
      <c r="Y55" s="17"/>
      <c r="Z55" s="17"/>
      <c r="AA55" s="17"/>
      <c r="AB55" s="52">
        <f>55439</f>
        <v>55439</v>
      </c>
      <c r="AC55" s="52"/>
    </row>
    <row r="56" spans="1:29" s="1" customFormat="1" ht="13.5" customHeight="1">
      <c r="A56" s="14" t="s">
        <v>109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105</v>
      </c>
      <c r="M56" s="15"/>
      <c r="N56" s="15"/>
      <c r="O56" s="15" t="s">
        <v>110</v>
      </c>
      <c r="P56" s="15"/>
      <c r="Q56" s="15"/>
      <c r="R56" s="23" t="s">
        <v>111</v>
      </c>
      <c r="S56" s="23"/>
      <c r="T56" s="17">
        <f>350000</f>
        <v>350000</v>
      </c>
      <c r="U56" s="17"/>
      <c r="V56" s="17"/>
      <c r="W56" s="17">
        <f>293719.99</f>
        <v>293719.99</v>
      </c>
      <c r="X56" s="17"/>
      <c r="Y56" s="17"/>
      <c r="Z56" s="17"/>
      <c r="AA56" s="17"/>
      <c r="AB56" s="52">
        <f>56280.01</f>
        <v>56280.01</v>
      </c>
      <c r="AC56" s="52"/>
    </row>
    <row r="57" spans="1:29" s="1" customFormat="1" ht="13.5" customHeight="1">
      <c r="A57" s="14" t="s">
        <v>112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105</v>
      </c>
      <c r="M57" s="15"/>
      <c r="N57" s="15"/>
      <c r="O57" s="15" t="s">
        <v>113</v>
      </c>
      <c r="P57" s="15"/>
      <c r="Q57" s="15"/>
      <c r="R57" s="23" t="s">
        <v>114</v>
      </c>
      <c r="S57" s="23"/>
      <c r="T57" s="17">
        <f>50000</f>
        <v>50000</v>
      </c>
      <c r="U57" s="17"/>
      <c r="V57" s="17"/>
      <c r="W57" s="21" t="s">
        <v>42</v>
      </c>
      <c r="X57" s="21"/>
      <c r="Y57" s="21"/>
      <c r="Z57" s="21"/>
      <c r="AA57" s="21"/>
      <c r="AB57" s="52">
        <f>50000</f>
        <v>50000</v>
      </c>
      <c r="AC57" s="52"/>
    </row>
    <row r="58" spans="1:29" s="1" customFormat="1" ht="13.5" customHeight="1">
      <c r="A58" s="14" t="s">
        <v>106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105</v>
      </c>
      <c r="M58" s="15"/>
      <c r="N58" s="15"/>
      <c r="O58" s="15" t="s">
        <v>115</v>
      </c>
      <c r="P58" s="15"/>
      <c r="Q58" s="15"/>
      <c r="R58" s="23" t="s">
        <v>108</v>
      </c>
      <c r="S58" s="23"/>
      <c r="T58" s="17">
        <f>3950000</f>
        <v>3950000</v>
      </c>
      <c r="U58" s="17"/>
      <c r="V58" s="17"/>
      <c r="W58" s="17">
        <f>3550002.38</f>
        <v>3550002.38</v>
      </c>
      <c r="X58" s="17"/>
      <c r="Y58" s="17"/>
      <c r="Z58" s="17"/>
      <c r="AA58" s="17"/>
      <c r="AB58" s="52">
        <f>399997.62</f>
        <v>399997.62</v>
      </c>
      <c r="AC58" s="52"/>
    </row>
    <row r="59" spans="1:29" s="1" customFormat="1" ht="13.5" customHeight="1">
      <c r="A59" s="14" t="s">
        <v>112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105</v>
      </c>
      <c r="M59" s="15"/>
      <c r="N59" s="15"/>
      <c r="O59" s="15" t="s">
        <v>116</v>
      </c>
      <c r="P59" s="15"/>
      <c r="Q59" s="15"/>
      <c r="R59" s="23" t="s">
        <v>114</v>
      </c>
      <c r="S59" s="23"/>
      <c r="T59" s="17">
        <f>100000</f>
        <v>100000</v>
      </c>
      <c r="U59" s="17"/>
      <c r="V59" s="17"/>
      <c r="W59" s="17">
        <f>26766.8</f>
        <v>26766.8</v>
      </c>
      <c r="X59" s="17"/>
      <c r="Y59" s="17"/>
      <c r="Z59" s="17"/>
      <c r="AA59" s="17"/>
      <c r="AB59" s="52">
        <f>73233.2</f>
        <v>73233.2</v>
      </c>
      <c r="AC59" s="52"/>
    </row>
    <row r="60" spans="1:29" s="1" customFormat="1" ht="13.5" customHeight="1">
      <c r="A60" s="14" t="s">
        <v>109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105</v>
      </c>
      <c r="M60" s="15"/>
      <c r="N60" s="15"/>
      <c r="O60" s="15" t="s">
        <v>117</v>
      </c>
      <c r="P60" s="15"/>
      <c r="Q60" s="15"/>
      <c r="R60" s="23" t="s">
        <v>111</v>
      </c>
      <c r="S60" s="23"/>
      <c r="T60" s="17">
        <f>1467383</f>
        <v>1467383</v>
      </c>
      <c r="U60" s="17"/>
      <c r="V60" s="17"/>
      <c r="W60" s="17">
        <f>1204661.89</f>
        <v>1204661.89</v>
      </c>
      <c r="X60" s="17"/>
      <c r="Y60" s="17"/>
      <c r="Z60" s="17"/>
      <c r="AA60" s="17"/>
      <c r="AB60" s="52">
        <f>262721.11</f>
        <v>262721.11</v>
      </c>
      <c r="AC60" s="52"/>
    </row>
    <row r="61" spans="1:29" s="1" customFormat="1" ht="13.5" customHeight="1">
      <c r="A61" s="14" t="s">
        <v>118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105</v>
      </c>
      <c r="M61" s="15"/>
      <c r="N61" s="15"/>
      <c r="O61" s="15" t="s">
        <v>119</v>
      </c>
      <c r="P61" s="15"/>
      <c r="Q61" s="15"/>
      <c r="R61" s="23" t="s">
        <v>120</v>
      </c>
      <c r="S61" s="23"/>
      <c r="T61" s="17">
        <f>718759</f>
        <v>718759</v>
      </c>
      <c r="U61" s="17"/>
      <c r="V61" s="17"/>
      <c r="W61" s="17">
        <f>718759</f>
        <v>718759</v>
      </c>
      <c r="X61" s="17"/>
      <c r="Y61" s="17"/>
      <c r="Z61" s="17"/>
      <c r="AA61" s="17"/>
      <c r="AB61" s="52">
        <f>0</f>
        <v>0</v>
      </c>
      <c r="AC61" s="52"/>
    </row>
    <row r="62" spans="1:29" s="1" customFormat="1" ht="13.5" customHeight="1">
      <c r="A62" s="14" t="s">
        <v>118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105</v>
      </c>
      <c r="M62" s="15"/>
      <c r="N62" s="15"/>
      <c r="O62" s="15" t="s">
        <v>121</v>
      </c>
      <c r="P62" s="15"/>
      <c r="Q62" s="15"/>
      <c r="R62" s="23" t="s">
        <v>120</v>
      </c>
      <c r="S62" s="23"/>
      <c r="T62" s="17">
        <f>50000</f>
        <v>50000</v>
      </c>
      <c r="U62" s="17"/>
      <c r="V62" s="17"/>
      <c r="W62" s="21" t="s">
        <v>42</v>
      </c>
      <c r="X62" s="21"/>
      <c r="Y62" s="21"/>
      <c r="Z62" s="21"/>
      <c r="AA62" s="21"/>
      <c r="AB62" s="52">
        <f>50000</f>
        <v>50000</v>
      </c>
      <c r="AC62" s="52"/>
    </row>
    <row r="63" spans="1:29" s="1" customFormat="1" ht="13.5" customHeight="1">
      <c r="A63" s="14" t="s">
        <v>122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105</v>
      </c>
      <c r="M63" s="15"/>
      <c r="N63" s="15"/>
      <c r="O63" s="15" t="s">
        <v>123</v>
      </c>
      <c r="P63" s="15"/>
      <c r="Q63" s="15"/>
      <c r="R63" s="23" t="s">
        <v>124</v>
      </c>
      <c r="S63" s="23"/>
      <c r="T63" s="17">
        <f>12500000</f>
        <v>12500000</v>
      </c>
      <c r="U63" s="17"/>
      <c r="V63" s="17"/>
      <c r="W63" s="17">
        <f>12497352.41</f>
        <v>12497352.41</v>
      </c>
      <c r="X63" s="17"/>
      <c r="Y63" s="17"/>
      <c r="Z63" s="17"/>
      <c r="AA63" s="17"/>
      <c r="AB63" s="52">
        <f>2647.59</f>
        <v>2647.59</v>
      </c>
      <c r="AC63" s="52"/>
    </row>
    <row r="64" spans="1:29" s="1" customFormat="1" ht="13.5" customHeight="1">
      <c r="A64" s="14" t="s">
        <v>125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105</v>
      </c>
      <c r="M64" s="15"/>
      <c r="N64" s="15"/>
      <c r="O64" s="15" t="s">
        <v>126</v>
      </c>
      <c r="P64" s="15"/>
      <c r="Q64" s="15"/>
      <c r="R64" s="23" t="s">
        <v>127</v>
      </c>
      <c r="S64" s="23"/>
      <c r="T64" s="17">
        <f>167700</f>
        <v>167700</v>
      </c>
      <c r="U64" s="17"/>
      <c r="V64" s="17"/>
      <c r="W64" s="17">
        <f>86640</f>
        <v>86640</v>
      </c>
      <c r="X64" s="17"/>
      <c r="Y64" s="17"/>
      <c r="Z64" s="17"/>
      <c r="AA64" s="17"/>
      <c r="AB64" s="52">
        <f>81060</f>
        <v>81060</v>
      </c>
      <c r="AC64" s="52"/>
    </row>
    <row r="65" spans="1:29" s="1" customFormat="1" ht="13.5" customHeight="1">
      <c r="A65" s="14" t="s">
        <v>106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105</v>
      </c>
      <c r="M65" s="15"/>
      <c r="N65" s="15"/>
      <c r="O65" s="15" t="s">
        <v>128</v>
      </c>
      <c r="P65" s="15"/>
      <c r="Q65" s="15"/>
      <c r="R65" s="23" t="s">
        <v>108</v>
      </c>
      <c r="S65" s="23"/>
      <c r="T65" s="17">
        <f>3931241</f>
        <v>3931241</v>
      </c>
      <c r="U65" s="17"/>
      <c r="V65" s="17"/>
      <c r="W65" s="17">
        <f>3641517.9</f>
        <v>3641517.9</v>
      </c>
      <c r="X65" s="17"/>
      <c r="Y65" s="17"/>
      <c r="Z65" s="17"/>
      <c r="AA65" s="17"/>
      <c r="AB65" s="52">
        <f>289723.1</f>
        <v>289723.1</v>
      </c>
      <c r="AC65" s="52"/>
    </row>
    <row r="66" spans="1:29" s="1" customFormat="1" ht="13.5" customHeight="1">
      <c r="A66" s="14" t="s">
        <v>112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105</v>
      </c>
      <c r="M66" s="15"/>
      <c r="N66" s="15"/>
      <c r="O66" s="15" t="s">
        <v>129</v>
      </c>
      <c r="P66" s="15"/>
      <c r="Q66" s="15"/>
      <c r="R66" s="23" t="s">
        <v>114</v>
      </c>
      <c r="S66" s="23"/>
      <c r="T66" s="17">
        <f>100000</f>
        <v>100000</v>
      </c>
      <c r="U66" s="17"/>
      <c r="V66" s="17"/>
      <c r="W66" s="17">
        <f>69365.7</f>
        <v>69365.7</v>
      </c>
      <c r="X66" s="17"/>
      <c r="Y66" s="17"/>
      <c r="Z66" s="17"/>
      <c r="AA66" s="17"/>
      <c r="AB66" s="52">
        <f>30634.3</f>
        <v>30634.3</v>
      </c>
      <c r="AC66" s="52"/>
    </row>
    <row r="67" spans="1:29" s="1" customFormat="1" ht="13.5" customHeight="1">
      <c r="A67" s="14" t="s">
        <v>109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105</v>
      </c>
      <c r="M67" s="15"/>
      <c r="N67" s="15"/>
      <c r="O67" s="15" t="s">
        <v>130</v>
      </c>
      <c r="P67" s="15"/>
      <c r="Q67" s="15"/>
      <c r="R67" s="23" t="s">
        <v>111</v>
      </c>
      <c r="S67" s="23"/>
      <c r="T67" s="17">
        <f>1484450</f>
        <v>1484450</v>
      </c>
      <c r="U67" s="17"/>
      <c r="V67" s="17"/>
      <c r="W67" s="17">
        <f>1095604.66</f>
        <v>1095604.66</v>
      </c>
      <c r="X67" s="17"/>
      <c r="Y67" s="17"/>
      <c r="Z67" s="17"/>
      <c r="AA67" s="17"/>
      <c r="AB67" s="52">
        <f>388845.34</f>
        <v>388845.34</v>
      </c>
      <c r="AC67" s="52"/>
    </row>
    <row r="68" spans="1:29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105</v>
      </c>
      <c r="M68" s="15"/>
      <c r="N68" s="15"/>
      <c r="O68" s="15" t="s">
        <v>132</v>
      </c>
      <c r="P68" s="15"/>
      <c r="Q68" s="15"/>
      <c r="R68" s="23" t="s">
        <v>133</v>
      </c>
      <c r="S68" s="23"/>
      <c r="T68" s="17">
        <f>25000</f>
        <v>25000</v>
      </c>
      <c r="U68" s="17"/>
      <c r="V68" s="17"/>
      <c r="W68" s="17">
        <f>25000</f>
        <v>25000</v>
      </c>
      <c r="X68" s="17"/>
      <c r="Y68" s="17"/>
      <c r="Z68" s="17"/>
      <c r="AA68" s="17"/>
      <c r="AB68" s="52">
        <f>0</f>
        <v>0</v>
      </c>
      <c r="AC68" s="52"/>
    </row>
    <row r="69" spans="1:29" s="1" customFormat="1" ht="13.5" customHeight="1">
      <c r="A69" s="14" t="s">
        <v>134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105</v>
      </c>
      <c r="M69" s="15"/>
      <c r="N69" s="15"/>
      <c r="O69" s="15" t="s">
        <v>132</v>
      </c>
      <c r="P69" s="15"/>
      <c r="Q69" s="15"/>
      <c r="R69" s="23" t="s">
        <v>135</v>
      </c>
      <c r="S69" s="23"/>
      <c r="T69" s="17">
        <f>179400</f>
        <v>179400</v>
      </c>
      <c r="U69" s="17"/>
      <c r="V69" s="17"/>
      <c r="W69" s="17">
        <f>125870.87</f>
        <v>125870.87</v>
      </c>
      <c r="X69" s="17"/>
      <c r="Y69" s="17"/>
      <c r="Z69" s="17"/>
      <c r="AA69" s="17"/>
      <c r="AB69" s="52">
        <f>53529.13</f>
        <v>53529.13</v>
      </c>
      <c r="AC69" s="52"/>
    </row>
    <row r="70" spans="1:29" s="1" customFormat="1" ht="13.5" customHeight="1">
      <c r="A70" s="14" t="s">
        <v>136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105</v>
      </c>
      <c r="M70" s="15"/>
      <c r="N70" s="15"/>
      <c r="O70" s="15" t="s">
        <v>132</v>
      </c>
      <c r="P70" s="15"/>
      <c r="Q70" s="15"/>
      <c r="R70" s="23" t="s">
        <v>137</v>
      </c>
      <c r="S70" s="23"/>
      <c r="T70" s="17">
        <f>211144</f>
        <v>211144</v>
      </c>
      <c r="U70" s="17"/>
      <c r="V70" s="17"/>
      <c r="W70" s="17">
        <f>150658.89</f>
        <v>150658.89</v>
      </c>
      <c r="X70" s="17"/>
      <c r="Y70" s="17"/>
      <c r="Z70" s="17"/>
      <c r="AA70" s="17"/>
      <c r="AB70" s="52">
        <f>60485.11</f>
        <v>60485.11</v>
      </c>
      <c r="AC70" s="52"/>
    </row>
    <row r="71" spans="1:29" s="1" customFormat="1" ht="13.5" customHeight="1">
      <c r="A71" s="14" t="s">
        <v>125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105</v>
      </c>
      <c r="M71" s="15"/>
      <c r="N71" s="15"/>
      <c r="O71" s="15" t="s">
        <v>132</v>
      </c>
      <c r="P71" s="15"/>
      <c r="Q71" s="15"/>
      <c r="R71" s="23" t="s">
        <v>127</v>
      </c>
      <c r="S71" s="23"/>
      <c r="T71" s="17">
        <f>285904</f>
        <v>285904</v>
      </c>
      <c r="U71" s="17"/>
      <c r="V71" s="17"/>
      <c r="W71" s="17">
        <f>224049.04</f>
        <v>224049.04</v>
      </c>
      <c r="X71" s="17"/>
      <c r="Y71" s="17"/>
      <c r="Z71" s="17"/>
      <c r="AA71" s="17"/>
      <c r="AB71" s="52">
        <f>61854.96</f>
        <v>61854.96</v>
      </c>
      <c r="AC71" s="52"/>
    </row>
    <row r="72" spans="1:29" s="1" customFormat="1" ht="13.5" customHeight="1">
      <c r="A72" s="14" t="s">
        <v>118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105</v>
      </c>
      <c r="M72" s="15"/>
      <c r="N72" s="15"/>
      <c r="O72" s="15" t="s">
        <v>132</v>
      </c>
      <c r="P72" s="15"/>
      <c r="Q72" s="15"/>
      <c r="R72" s="23" t="s">
        <v>120</v>
      </c>
      <c r="S72" s="23"/>
      <c r="T72" s="17">
        <f>50000</f>
        <v>50000</v>
      </c>
      <c r="U72" s="17"/>
      <c r="V72" s="17"/>
      <c r="W72" s="17">
        <f>50000</f>
        <v>50000</v>
      </c>
      <c r="X72" s="17"/>
      <c r="Y72" s="17"/>
      <c r="Z72" s="17"/>
      <c r="AA72" s="17"/>
      <c r="AB72" s="52">
        <f>0</f>
        <v>0</v>
      </c>
      <c r="AC72" s="52"/>
    </row>
    <row r="73" spans="1:29" s="1" customFormat="1" ht="13.5" customHeight="1">
      <c r="A73" s="14" t="s">
        <v>122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105</v>
      </c>
      <c r="M73" s="15"/>
      <c r="N73" s="15"/>
      <c r="O73" s="15" t="s">
        <v>132</v>
      </c>
      <c r="P73" s="15"/>
      <c r="Q73" s="15"/>
      <c r="R73" s="23" t="s">
        <v>124</v>
      </c>
      <c r="S73" s="23"/>
      <c r="T73" s="17">
        <f>1426895</f>
        <v>1426895</v>
      </c>
      <c r="U73" s="17"/>
      <c r="V73" s="17"/>
      <c r="W73" s="17">
        <f>1350389.68</f>
        <v>1350389.68</v>
      </c>
      <c r="X73" s="17"/>
      <c r="Y73" s="17"/>
      <c r="Z73" s="17"/>
      <c r="AA73" s="17"/>
      <c r="AB73" s="52">
        <f>76505.32</f>
        <v>76505.32</v>
      </c>
      <c r="AC73" s="52"/>
    </row>
    <row r="74" spans="1:29" s="1" customFormat="1" ht="13.5" customHeight="1">
      <c r="A74" s="14" t="s">
        <v>138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105</v>
      </c>
      <c r="M74" s="15"/>
      <c r="N74" s="15"/>
      <c r="O74" s="15" t="s">
        <v>132</v>
      </c>
      <c r="P74" s="15"/>
      <c r="Q74" s="15"/>
      <c r="R74" s="23" t="s">
        <v>139</v>
      </c>
      <c r="S74" s="23"/>
      <c r="T74" s="17">
        <f>896555</f>
        <v>896555</v>
      </c>
      <c r="U74" s="17"/>
      <c r="V74" s="17"/>
      <c r="W74" s="17">
        <f>744005.42</f>
        <v>744005.42</v>
      </c>
      <c r="X74" s="17"/>
      <c r="Y74" s="17"/>
      <c r="Z74" s="17"/>
      <c r="AA74" s="17"/>
      <c r="AB74" s="52">
        <f>152549.58</f>
        <v>152549.58</v>
      </c>
      <c r="AC74" s="52"/>
    </row>
    <row r="75" spans="1:29" s="1" customFormat="1" ht="13.5" customHeight="1">
      <c r="A75" s="14" t="s">
        <v>118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105</v>
      </c>
      <c r="M75" s="15"/>
      <c r="N75" s="15"/>
      <c r="O75" s="15" t="s">
        <v>140</v>
      </c>
      <c r="P75" s="15"/>
      <c r="Q75" s="15"/>
      <c r="R75" s="23" t="s">
        <v>120</v>
      </c>
      <c r="S75" s="23"/>
      <c r="T75" s="17">
        <f>30000</f>
        <v>30000</v>
      </c>
      <c r="U75" s="17"/>
      <c r="V75" s="17"/>
      <c r="W75" s="17">
        <f>1833</f>
        <v>1833</v>
      </c>
      <c r="X75" s="17"/>
      <c r="Y75" s="17"/>
      <c r="Z75" s="17"/>
      <c r="AA75" s="17"/>
      <c r="AB75" s="52">
        <f>28167</f>
        <v>28167</v>
      </c>
      <c r="AC75" s="52"/>
    </row>
    <row r="76" spans="1:29" s="1" customFormat="1" ht="13.5" customHeight="1">
      <c r="A76" s="14" t="s">
        <v>118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105</v>
      </c>
      <c r="M76" s="15"/>
      <c r="N76" s="15"/>
      <c r="O76" s="15" t="s">
        <v>141</v>
      </c>
      <c r="P76" s="15"/>
      <c r="Q76" s="15"/>
      <c r="R76" s="23" t="s">
        <v>120</v>
      </c>
      <c r="S76" s="23"/>
      <c r="T76" s="17">
        <f>10000</f>
        <v>10000</v>
      </c>
      <c r="U76" s="17"/>
      <c r="V76" s="17"/>
      <c r="W76" s="17">
        <f>1363.25</f>
        <v>1363.25</v>
      </c>
      <c r="X76" s="17"/>
      <c r="Y76" s="17"/>
      <c r="Z76" s="17"/>
      <c r="AA76" s="17"/>
      <c r="AB76" s="52">
        <f>8636.75</f>
        <v>8636.75</v>
      </c>
      <c r="AC76" s="52"/>
    </row>
    <row r="77" spans="1:29" s="1" customFormat="1" ht="13.5" customHeight="1">
      <c r="A77" s="14" t="s">
        <v>118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105</v>
      </c>
      <c r="M77" s="15"/>
      <c r="N77" s="15"/>
      <c r="O77" s="15" t="s">
        <v>142</v>
      </c>
      <c r="P77" s="15"/>
      <c r="Q77" s="15"/>
      <c r="R77" s="23" t="s">
        <v>120</v>
      </c>
      <c r="S77" s="23"/>
      <c r="T77" s="17">
        <f>16092</f>
        <v>16092</v>
      </c>
      <c r="U77" s="17"/>
      <c r="V77" s="17"/>
      <c r="W77" s="17">
        <f>16092</f>
        <v>16092</v>
      </c>
      <c r="X77" s="17"/>
      <c r="Y77" s="17"/>
      <c r="Z77" s="17"/>
      <c r="AA77" s="17"/>
      <c r="AB77" s="52">
        <f>0</f>
        <v>0</v>
      </c>
      <c r="AC77" s="52"/>
    </row>
    <row r="78" spans="1:29" s="1" customFormat="1" ht="13.5" customHeight="1">
      <c r="A78" s="14" t="s">
        <v>118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105</v>
      </c>
      <c r="M78" s="15"/>
      <c r="N78" s="15"/>
      <c r="O78" s="15" t="s">
        <v>143</v>
      </c>
      <c r="P78" s="15"/>
      <c r="Q78" s="15"/>
      <c r="R78" s="23" t="s">
        <v>120</v>
      </c>
      <c r="S78" s="23"/>
      <c r="T78" s="17">
        <f>15000</f>
        <v>15000</v>
      </c>
      <c r="U78" s="17"/>
      <c r="V78" s="17"/>
      <c r="W78" s="17">
        <f>15000</f>
        <v>15000</v>
      </c>
      <c r="X78" s="17"/>
      <c r="Y78" s="17"/>
      <c r="Z78" s="17"/>
      <c r="AA78" s="17"/>
      <c r="AB78" s="52">
        <f>0</f>
        <v>0</v>
      </c>
      <c r="AC78" s="52"/>
    </row>
    <row r="79" spans="1:29" s="1" customFormat="1" ht="13.5" customHeight="1">
      <c r="A79" s="14" t="s">
        <v>144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105</v>
      </c>
      <c r="M79" s="15"/>
      <c r="N79" s="15"/>
      <c r="O79" s="15" t="s">
        <v>145</v>
      </c>
      <c r="P79" s="15"/>
      <c r="Q79" s="15"/>
      <c r="R79" s="23" t="s">
        <v>146</v>
      </c>
      <c r="S79" s="23"/>
      <c r="T79" s="17">
        <f>60000</f>
        <v>60000</v>
      </c>
      <c r="U79" s="17"/>
      <c r="V79" s="17"/>
      <c r="W79" s="17">
        <f>42536.4</f>
        <v>42536.4</v>
      </c>
      <c r="X79" s="17"/>
      <c r="Y79" s="17"/>
      <c r="Z79" s="17"/>
      <c r="AA79" s="17"/>
      <c r="AB79" s="52">
        <f>17463.6</f>
        <v>17463.6</v>
      </c>
      <c r="AC79" s="52"/>
    </row>
    <row r="80" spans="1:29" s="1" customFormat="1" ht="13.5" customHeight="1">
      <c r="A80" s="14" t="s">
        <v>125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105</v>
      </c>
      <c r="M80" s="15"/>
      <c r="N80" s="15"/>
      <c r="O80" s="15" t="s">
        <v>145</v>
      </c>
      <c r="P80" s="15"/>
      <c r="Q80" s="15"/>
      <c r="R80" s="23" t="s">
        <v>127</v>
      </c>
      <c r="S80" s="23"/>
      <c r="T80" s="17">
        <f>145000</f>
        <v>145000</v>
      </c>
      <c r="U80" s="17"/>
      <c r="V80" s="17"/>
      <c r="W80" s="17">
        <f>143892.1</f>
        <v>143892.1</v>
      </c>
      <c r="X80" s="17"/>
      <c r="Y80" s="17"/>
      <c r="Z80" s="17"/>
      <c r="AA80" s="17"/>
      <c r="AB80" s="52">
        <f>1107.9</f>
        <v>1107.9</v>
      </c>
      <c r="AC80" s="52"/>
    </row>
    <row r="81" spans="1:29" s="1" customFormat="1" ht="13.5" customHeight="1">
      <c r="A81" s="14" t="s">
        <v>118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105</v>
      </c>
      <c r="M81" s="15"/>
      <c r="N81" s="15"/>
      <c r="O81" s="15" t="s">
        <v>145</v>
      </c>
      <c r="P81" s="15"/>
      <c r="Q81" s="15"/>
      <c r="R81" s="23" t="s">
        <v>120</v>
      </c>
      <c r="S81" s="23"/>
      <c r="T81" s="17">
        <f>29000</f>
        <v>29000</v>
      </c>
      <c r="U81" s="17"/>
      <c r="V81" s="17"/>
      <c r="W81" s="21" t="s">
        <v>42</v>
      </c>
      <c r="X81" s="21"/>
      <c r="Y81" s="21"/>
      <c r="Z81" s="21"/>
      <c r="AA81" s="21"/>
      <c r="AB81" s="52">
        <f>29000</f>
        <v>29000</v>
      </c>
      <c r="AC81" s="52"/>
    </row>
    <row r="82" spans="1:29" s="1" customFormat="1" ht="13.5" customHeight="1">
      <c r="A82" s="14" t="s">
        <v>118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105</v>
      </c>
      <c r="M82" s="15"/>
      <c r="N82" s="15"/>
      <c r="O82" s="15" t="s">
        <v>147</v>
      </c>
      <c r="P82" s="15"/>
      <c r="Q82" s="15"/>
      <c r="R82" s="23" t="s">
        <v>120</v>
      </c>
      <c r="S82" s="23"/>
      <c r="T82" s="17">
        <f>9040</f>
        <v>9040</v>
      </c>
      <c r="U82" s="17"/>
      <c r="V82" s="17"/>
      <c r="W82" s="17">
        <f>8000</f>
        <v>8000</v>
      </c>
      <c r="X82" s="17"/>
      <c r="Y82" s="17"/>
      <c r="Z82" s="17"/>
      <c r="AA82" s="17"/>
      <c r="AB82" s="52">
        <f>1040</f>
        <v>1040</v>
      </c>
      <c r="AC82" s="52"/>
    </row>
    <row r="83" spans="1:29" s="1" customFormat="1" ht="13.5" customHeight="1">
      <c r="A83" s="14" t="s">
        <v>118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105</v>
      </c>
      <c r="M83" s="15"/>
      <c r="N83" s="15"/>
      <c r="O83" s="15" t="s">
        <v>148</v>
      </c>
      <c r="P83" s="15"/>
      <c r="Q83" s="15"/>
      <c r="R83" s="23" t="s">
        <v>120</v>
      </c>
      <c r="S83" s="23"/>
      <c r="T83" s="17">
        <f>63779</f>
        <v>63779</v>
      </c>
      <c r="U83" s="17"/>
      <c r="V83" s="17"/>
      <c r="W83" s="17">
        <f>63779</f>
        <v>63779</v>
      </c>
      <c r="X83" s="17"/>
      <c r="Y83" s="17"/>
      <c r="Z83" s="17"/>
      <c r="AA83" s="17"/>
      <c r="AB83" s="52">
        <f>0</f>
        <v>0</v>
      </c>
      <c r="AC83" s="52"/>
    </row>
    <row r="84" spans="1:29" s="1" customFormat="1" ht="13.5" customHeight="1">
      <c r="A84" s="14" t="s">
        <v>118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105</v>
      </c>
      <c r="M84" s="15"/>
      <c r="N84" s="15"/>
      <c r="O84" s="15" t="s">
        <v>149</v>
      </c>
      <c r="P84" s="15"/>
      <c r="Q84" s="15"/>
      <c r="R84" s="23" t="s">
        <v>120</v>
      </c>
      <c r="S84" s="23"/>
      <c r="T84" s="17">
        <f>19246</f>
        <v>19246</v>
      </c>
      <c r="U84" s="17"/>
      <c r="V84" s="17"/>
      <c r="W84" s="17">
        <f>19246</f>
        <v>19246</v>
      </c>
      <c r="X84" s="17"/>
      <c r="Y84" s="17"/>
      <c r="Z84" s="17"/>
      <c r="AA84" s="17"/>
      <c r="AB84" s="52">
        <f>0</f>
        <v>0</v>
      </c>
      <c r="AC84" s="52"/>
    </row>
    <row r="85" spans="1:29" s="1" customFormat="1" ht="13.5" customHeight="1">
      <c r="A85" s="14" t="s">
        <v>118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105</v>
      </c>
      <c r="M85" s="15"/>
      <c r="N85" s="15"/>
      <c r="O85" s="15" t="s">
        <v>150</v>
      </c>
      <c r="P85" s="15"/>
      <c r="Q85" s="15"/>
      <c r="R85" s="23" t="s">
        <v>120</v>
      </c>
      <c r="S85" s="23"/>
      <c r="T85" s="17">
        <f>5000</f>
        <v>5000</v>
      </c>
      <c r="U85" s="17"/>
      <c r="V85" s="17"/>
      <c r="W85" s="17">
        <f>1655.21</f>
        <v>1655.21</v>
      </c>
      <c r="X85" s="17"/>
      <c r="Y85" s="17"/>
      <c r="Z85" s="17"/>
      <c r="AA85" s="17"/>
      <c r="AB85" s="52">
        <f>3344.79</f>
        <v>3344.79</v>
      </c>
      <c r="AC85" s="52"/>
    </row>
    <row r="86" spans="1:29" s="1" customFormat="1" ht="13.5" customHeight="1">
      <c r="A86" s="14" t="s">
        <v>106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105</v>
      </c>
      <c r="M86" s="15"/>
      <c r="N86" s="15"/>
      <c r="O86" s="15" t="s">
        <v>151</v>
      </c>
      <c r="P86" s="15"/>
      <c r="Q86" s="15"/>
      <c r="R86" s="23" t="s">
        <v>108</v>
      </c>
      <c r="S86" s="23"/>
      <c r="T86" s="17">
        <f>60000</f>
        <v>60000</v>
      </c>
      <c r="U86" s="17"/>
      <c r="V86" s="17"/>
      <c r="W86" s="17">
        <f>52467.28</f>
        <v>52467.28</v>
      </c>
      <c r="X86" s="17"/>
      <c r="Y86" s="17"/>
      <c r="Z86" s="17"/>
      <c r="AA86" s="17"/>
      <c r="AB86" s="52">
        <f>7532.72</f>
        <v>7532.72</v>
      </c>
      <c r="AC86" s="52"/>
    </row>
    <row r="87" spans="1:29" s="1" customFormat="1" ht="13.5" customHeight="1">
      <c r="A87" s="14" t="s">
        <v>109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105</v>
      </c>
      <c r="M87" s="15"/>
      <c r="N87" s="15"/>
      <c r="O87" s="15" t="s">
        <v>152</v>
      </c>
      <c r="P87" s="15"/>
      <c r="Q87" s="15"/>
      <c r="R87" s="23" t="s">
        <v>111</v>
      </c>
      <c r="S87" s="23"/>
      <c r="T87" s="17">
        <f>20000</f>
        <v>20000</v>
      </c>
      <c r="U87" s="17"/>
      <c r="V87" s="17"/>
      <c r="W87" s="17">
        <f>14323.56</f>
        <v>14323.56</v>
      </c>
      <c r="X87" s="17"/>
      <c r="Y87" s="17"/>
      <c r="Z87" s="17"/>
      <c r="AA87" s="17"/>
      <c r="AB87" s="52">
        <f>5676.44</f>
        <v>5676.44</v>
      </c>
      <c r="AC87" s="52"/>
    </row>
    <row r="88" spans="1:29" s="1" customFormat="1" ht="13.5" customHeight="1">
      <c r="A88" s="14" t="s">
        <v>106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105</v>
      </c>
      <c r="M88" s="15"/>
      <c r="N88" s="15"/>
      <c r="O88" s="15" t="s">
        <v>153</v>
      </c>
      <c r="P88" s="15"/>
      <c r="Q88" s="15"/>
      <c r="R88" s="23" t="s">
        <v>108</v>
      </c>
      <c r="S88" s="23"/>
      <c r="T88" s="17">
        <f>17000</f>
        <v>17000</v>
      </c>
      <c r="U88" s="17"/>
      <c r="V88" s="17"/>
      <c r="W88" s="21" t="s">
        <v>42</v>
      </c>
      <c r="X88" s="21"/>
      <c r="Y88" s="21"/>
      <c r="Z88" s="21"/>
      <c r="AA88" s="21"/>
      <c r="AB88" s="52">
        <f>17000</f>
        <v>17000</v>
      </c>
      <c r="AC88" s="52"/>
    </row>
    <row r="89" spans="1:29" s="1" customFormat="1" ht="13.5" customHeight="1">
      <c r="A89" s="14" t="s">
        <v>109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105</v>
      </c>
      <c r="M89" s="15"/>
      <c r="N89" s="15"/>
      <c r="O89" s="15" t="s">
        <v>154</v>
      </c>
      <c r="P89" s="15"/>
      <c r="Q89" s="15"/>
      <c r="R89" s="23" t="s">
        <v>111</v>
      </c>
      <c r="S89" s="23"/>
      <c r="T89" s="17">
        <f>3000</f>
        <v>3000</v>
      </c>
      <c r="U89" s="17"/>
      <c r="V89" s="17"/>
      <c r="W89" s="21" t="s">
        <v>42</v>
      </c>
      <c r="X89" s="21"/>
      <c r="Y89" s="21"/>
      <c r="Z89" s="21"/>
      <c r="AA89" s="21"/>
      <c r="AB89" s="52">
        <f>3000</f>
        <v>3000</v>
      </c>
      <c r="AC89" s="52"/>
    </row>
    <row r="90" spans="1:29" s="1" customFormat="1" ht="13.5" customHeight="1">
      <c r="A90" s="14" t="s">
        <v>136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105</v>
      </c>
      <c r="M90" s="15"/>
      <c r="N90" s="15"/>
      <c r="O90" s="15" t="s">
        <v>155</v>
      </c>
      <c r="P90" s="15"/>
      <c r="Q90" s="15"/>
      <c r="R90" s="23" t="s">
        <v>137</v>
      </c>
      <c r="S90" s="23"/>
      <c r="T90" s="17">
        <f>13869.9</f>
        <v>13869.9</v>
      </c>
      <c r="U90" s="17"/>
      <c r="V90" s="17"/>
      <c r="W90" s="21" t="s">
        <v>42</v>
      </c>
      <c r="X90" s="21"/>
      <c r="Y90" s="21"/>
      <c r="Z90" s="21"/>
      <c r="AA90" s="21"/>
      <c r="AB90" s="52">
        <f>13869.9</f>
        <v>13869.9</v>
      </c>
      <c r="AC90" s="52"/>
    </row>
    <row r="91" spans="1:29" s="1" customFormat="1" ht="13.5" customHeight="1">
      <c r="A91" s="14" t="s">
        <v>118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105</v>
      </c>
      <c r="M91" s="15"/>
      <c r="N91" s="15"/>
      <c r="O91" s="15" t="s">
        <v>156</v>
      </c>
      <c r="P91" s="15"/>
      <c r="Q91" s="15"/>
      <c r="R91" s="23" t="s">
        <v>120</v>
      </c>
      <c r="S91" s="23"/>
      <c r="T91" s="17">
        <f>6700</f>
        <v>6700</v>
      </c>
      <c r="U91" s="17"/>
      <c r="V91" s="17"/>
      <c r="W91" s="17">
        <f>6700</f>
        <v>6700</v>
      </c>
      <c r="X91" s="17"/>
      <c r="Y91" s="17"/>
      <c r="Z91" s="17"/>
      <c r="AA91" s="17"/>
      <c r="AB91" s="52">
        <f>0</f>
        <v>0</v>
      </c>
      <c r="AC91" s="52"/>
    </row>
    <row r="92" spans="1:29" s="1" customFormat="1" ht="13.5" customHeight="1">
      <c r="A92" s="14" t="s">
        <v>118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105</v>
      </c>
      <c r="M92" s="15"/>
      <c r="N92" s="15"/>
      <c r="O92" s="15" t="s">
        <v>157</v>
      </c>
      <c r="P92" s="15"/>
      <c r="Q92" s="15"/>
      <c r="R92" s="23" t="s">
        <v>120</v>
      </c>
      <c r="S92" s="23"/>
      <c r="T92" s="17">
        <f>2900</f>
        <v>2900</v>
      </c>
      <c r="U92" s="17"/>
      <c r="V92" s="17"/>
      <c r="W92" s="17">
        <f>2900</f>
        <v>2900</v>
      </c>
      <c r="X92" s="17"/>
      <c r="Y92" s="17"/>
      <c r="Z92" s="17"/>
      <c r="AA92" s="17"/>
      <c r="AB92" s="52">
        <f>0</f>
        <v>0</v>
      </c>
      <c r="AC92" s="52"/>
    </row>
    <row r="93" spans="1:29" s="1" customFormat="1" ht="13.5" customHeight="1">
      <c r="A93" s="14" t="s">
        <v>122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105</v>
      </c>
      <c r="M93" s="15"/>
      <c r="N93" s="15"/>
      <c r="O93" s="15" t="s">
        <v>158</v>
      </c>
      <c r="P93" s="15"/>
      <c r="Q93" s="15"/>
      <c r="R93" s="23" t="s">
        <v>124</v>
      </c>
      <c r="S93" s="23"/>
      <c r="T93" s="17">
        <f>5000</f>
        <v>5000</v>
      </c>
      <c r="U93" s="17"/>
      <c r="V93" s="17"/>
      <c r="W93" s="21" t="s">
        <v>42</v>
      </c>
      <c r="X93" s="21"/>
      <c r="Y93" s="21"/>
      <c r="Z93" s="21"/>
      <c r="AA93" s="21"/>
      <c r="AB93" s="52">
        <f>5000</f>
        <v>5000</v>
      </c>
      <c r="AC93" s="52"/>
    </row>
    <row r="94" spans="1:29" s="1" customFormat="1" ht="13.5" customHeight="1">
      <c r="A94" s="14" t="s">
        <v>136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105</v>
      </c>
      <c r="M94" s="15"/>
      <c r="N94" s="15"/>
      <c r="O94" s="15" t="s">
        <v>159</v>
      </c>
      <c r="P94" s="15"/>
      <c r="Q94" s="15"/>
      <c r="R94" s="23" t="s">
        <v>137</v>
      </c>
      <c r="S94" s="23"/>
      <c r="T94" s="17">
        <f>1100000</f>
        <v>1100000</v>
      </c>
      <c r="U94" s="17"/>
      <c r="V94" s="17"/>
      <c r="W94" s="17">
        <f>650000</f>
        <v>650000</v>
      </c>
      <c r="X94" s="17"/>
      <c r="Y94" s="17"/>
      <c r="Z94" s="17"/>
      <c r="AA94" s="17"/>
      <c r="AB94" s="52">
        <f>450000</f>
        <v>450000</v>
      </c>
      <c r="AC94" s="52"/>
    </row>
    <row r="95" spans="1:29" s="1" customFormat="1" ht="13.5" customHeight="1">
      <c r="A95" s="14" t="s">
        <v>122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105</v>
      </c>
      <c r="M95" s="15"/>
      <c r="N95" s="15"/>
      <c r="O95" s="15" t="s">
        <v>159</v>
      </c>
      <c r="P95" s="15"/>
      <c r="Q95" s="15"/>
      <c r="R95" s="23" t="s">
        <v>124</v>
      </c>
      <c r="S95" s="23"/>
      <c r="T95" s="17">
        <f>52056.4</f>
        <v>52056.4</v>
      </c>
      <c r="U95" s="17"/>
      <c r="V95" s="17"/>
      <c r="W95" s="17">
        <f>7056.4</f>
        <v>7056.4</v>
      </c>
      <c r="X95" s="17"/>
      <c r="Y95" s="17"/>
      <c r="Z95" s="17"/>
      <c r="AA95" s="17"/>
      <c r="AB95" s="52">
        <f>45000</f>
        <v>45000</v>
      </c>
      <c r="AC95" s="52"/>
    </row>
    <row r="96" spans="1:29" s="1" customFormat="1" ht="13.5" customHeight="1">
      <c r="A96" s="14" t="s">
        <v>131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105</v>
      </c>
      <c r="M96" s="15"/>
      <c r="N96" s="15"/>
      <c r="O96" s="15" t="s">
        <v>160</v>
      </c>
      <c r="P96" s="15"/>
      <c r="Q96" s="15"/>
      <c r="R96" s="23" t="s">
        <v>133</v>
      </c>
      <c r="S96" s="23"/>
      <c r="T96" s="17">
        <f>240000</f>
        <v>240000</v>
      </c>
      <c r="U96" s="17"/>
      <c r="V96" s="17"/>
      <c r="W96" s="17">
        <f>226502.89</f>
        <v>226502.89</v>
      </c>
      <c r="X96" s="17"/>
      <c r="Y96" s="17"/>
      <c r="Z96" s="17"/>
      <c r="AA96" s="17"/>
      <c r="AB96" s="52">
        <f>13497.11</f>
        <v>13497.11</v>
      </c>
      <c r="AC96" s="52"/>
    </row>
    <row r="97" spans="1:29" s="1" customFormat="1" ht="13.5" customHeight="1">
      <c r="A97" s="14" t="s">
        <v>136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105</v>
      </c>
      <c r="M97" s="15"/>
      <c r="N97" s="15"/>
      <c r="O97" s="15" t="s">
        <v>160</v>
      </c>
      <c r="P97" s="15"/>
      <c r="Q97" s="15"/>
      <c r="R97" s="23" t="s">
        <v>137</v>
      </c>
      <c r="S97" s="23"/>
      <c r="T97" s="17">
        <f>50000</f>
        <v>50000</v>
      </c>
      <c r="U97" s="17"/>
      <c r="V97" s="17"/>
      <c r="W97" s="17">
        <f>34150</f>
        <v>34150</v>
      </c>
      <c r="X97" s="17"/>
      <c r="Y97" s="17"/>
      <c r="Z97" s="17"/>
      <c r="AA97" s="17"/>
      <c r="AB97" s="52">
        <f>15850</f>
        <v>15850</v>
      </c>
      <c r="AC97" s="52"/>
    </row>
    <row r="98" spans="1:29" s="1" customFormat="1" ht="13.5" customHeight="1">
      <c r="A98" s="14" t="s">
        <v>125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105</v>
      </c>
      <c r="M98" s="15"/>
      <c r="N98" s="15"/>
      <c r="O98" s="15" t="s">
        <v>160</v>
      </c>
      <c r="P98" s="15"/>
      <c r="Q98" s="15"/>
      <c r="R98" s="23" t="s">
        <v>127</v>
      </c>
      <c r="S98" s="23"/>
      <c r="T98" s="17">
        <f>741000</f>
        <v>741000</v>
      </c>
      <c r="U98" s="17"/>
      <c r="V98" s="17"/>
      <c r="W98" s="17">
        <f>579007</f>
        <v>579007</v>
      </c>
      <c r="X98" s="17"/>
      <c r="Y98" s="17"/>
      <c r="Z98" s="17"/>
      <c r="AA98" s="17"/>
      <c r="AB98" s="52">
        <f>161993</f>
        <v>161993</v>
      </c>
      <c r="AC98" s="52"/>
    </row>
    <row r="99" spans="1:29" s="1" customFormat="1" ht="13.5" customHeight="1">
      <c r="A99" s="14" t="s">
        <v>122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105</v>
      </c>
      <c r="M99" s="15"/>
      <c r="N99" s="15"/>
      <c r="O99" s="15" t="s">
        <v>160</v>
      </c>
      <c r="P99" s="15"/>
      <c r="Q99" s="15"/>
      <c r="R99" s="23" t="s">
        <v>124</v>
      </c>
      <c r="S99" s="23"/>
      <c r="T99" s="17">
        <f>246657</f>
        <v>246657</v>
      </c>
      <c r="U99" s="17"/>
      <c r="V99" s="17"/>
      <c r="W99" s="17">
        <f>232104</f>
        <v>232104</v>
      </c>
      <c r="X99" s="17"/>
      <c r="Y99" s="17"/>
      <c r="Z99" s="17"/>
      <c r="AA99" s="17"/>
      <c r="AB99" s="52">
        <f>14553</f>
        <v>14553</v>
      </c>
      <c r="AC99" s="52"/>
    </row>
    <row r="100" spans="1:29" s="1" customFormat="1" ht="13.5" customHeight="1">
      <c r="A100" s="14" t="s">
        <v>138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105</v>
      </c>
      <c r="M100" s="15"/>
      <c r="N100" s="15"/>
      <c r="O100" s="15" t="s">
        <v>160</v>
      </c>
      <c r="P100" s="15"/>
      <c r="Q100" s="15"/>
      <c r="R100" s="23" t="s">
        <v>139</v>
      </c>
      <c r="S100" s="23"/>
      <c r="T100" s="17">
        <f>9000</f>
        <v>9000</v>
      </c>
      <c r="U100" s="17"/>
      <c r="V100" s="17"/>
      <c r="W100" s="17">
        <f>4949</f>
        <v>4949</v>
      </c>
      <c r="X100" s="17"/>
      <c r="Y100" s="17"/>
      <c r="Z100" s="17"/>
      <c r="AA100" s="17"/>
      <c r="AB100" s="52">
        <f>4051</f>
        <v>4051</v>
      </c>
      <c r="AC100" s="52"/>
    </row>
    <row r="101" spans="1:29" s="1" customFormat="1" ht="13.5" customHeight="1">
      <c r="A101" s="14" t="s">
        <v>125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105</v>
      </c>
      <c r="M101" s="15"/>
      <c r="N101" s="15"/>
      <c r="O101" s="15" t="s">
        <v>161</v>
      </c>
      <c r="P101" s="15"/>
      <c r="Q101" s="15"/>
      <c r="R101" s="23" t="s">
        <v>127</v>
      </c>
      <c r="S101" s="23"/>
      <c r="T101" s="17">
        <f>390698</f>
        <v>390698</v>
      </c>
      <c r="U101" s="17"/>
      <c r="V101" s="17"/>
      <c r="W101" s="17">
        <f>388744.18</f>
        <v>388744.18</v>
      </c>
      <c r="X101" s="17"/>
      <c r="Y101" s="17"/>
      <c r="Z101" s="17"/>
      <c r="AA101" s="17"/>
      <c r="AB101" s="52">
        <f>1953.82</f>
        <v>1953.82</v>
      </c>
      <c r="AC101" s="52"/>
    </row>
    <row r="102" spans="1:29" s="1" customFormat="1" ht="13.5" customHeight="1">
      <c r="A102" s="14" t="s">
        <v>122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105</v>
      </c>
      <c r="M102" s="15"/>
      <c r="N102" s="15"/>
      <c r="O102" s="15" t="s">
        <v>162</v>
      </c>
      <c r="P102" s="15"/>
      <c r="Q102" s="15"/>
      <c r="R102" s="23" t="s">
        <v>124</v>
      </c>
      <c r="S102" s="23"/>
      <c r="T102" s="17">
        <f>25516000</f>
        <v>25516000</v>
      </c>
      <c r="U102" s="17"/>
      <c r="V102" s="17"/>
      <c r="W102" s="17">
        <f>24499000</f>
        <v>24499000</v>
      </c>
      <c r="X102" s="17"/>
      <c r="Y102" s="17"/>
      <c r="Z102" s="17"/>
      <c r="AA102" s="17"/>
      <c r="AB102" s="52">
        <f>1017000</f>
        <v>1017000</v>
      </c>
      <c r="AC102" s="52"/>
    </row>
    <row r="103" spans="1:29" s="1" customFormat="1" ht="13.5" customHeight="1">
      <c r="A103" s="14" t="s">
        <v>125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105</v>
      </c>
      <c r="M103" s="15"/>
      <c r="N103" s="15"/>
      <c r="O103" s="15" t="s">
        <v>163</v>
      </c>
      <c r="P103" s="15"/>
      <c r="Q103" s="15"/>
      <c r="R103" s="23" t="s">
        <v>127</v>
      </c>
      <c r="S103" s="23"/>
      <c r="T103" s="17">
        <f>2000000</f>
        <v>2000000</v>
      </c>
      <c r="U103" s="17"/>
      <c r="V103" s="17"/>
      <c r="W103" s="21" t="s">
        <v>42</v>
      </c>
      <c r="X103" s="21"/>
      <c r="Y103" s="21"/>
      <c r="Z103" s="21"/>
      <c r="AA103" s="21"/>
      <c r="AB103" s="52">
        <f>2000000</f>
        <v>2000000</v>
      </c>
      <c r="AC103" s="52"/>
    </row>
    <row r="104" spans="1:29" s="1" customFormat="1" ht="13.5" customHeight="1">
      <c r="A104" s="14" t="s">
        <v>136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105</v>
      </c>
      <c r="M104" s="15"/>
      <c r="N104" s="15"/>
      <c r="O104" s="15" t="s">
        <v>164</v>
      </c>
      <c r="P104" s="15"/>
      <c r="Q104" s="15"/>
      <c r="R104" s="23" t="s">
        <v>137</v>
      </c>
      <c r="S104" s="23"/>
      <c r="T104" s="17">
        <f>200000</f>
        <v>200000</v>
      </c>
      <c r="U104" s="17"/>
      <c r="V104" s="17"/>
      <c r="W104" s="17">
        <f>167165.33</f>
        <v>167165.33</v>
      </c>
      <c r="X104" s="17"/>
      <c r="Y104" s="17"/>
      <c r="Z104" s="17"/>
      <c r="AA104" s="17"/>
      <c r="AB104" s="52">
        <f>32834.67</f>
        <v>32834.67</v>
      </c>
      <c r="AC104" s="52"/>
    </row>
    <row r="105" spans="1:29" s="1" customFormat="1" ht="13.5" customHeight="1">
      <c r="A105" s="14" t="s">
        <v>125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105</v>
      </c>
      <c r="M105" s="15"/>
      <c r="N105" s="15"/>
      <c r="O105" s="15" t="s">
        <v>164</v>
      </c>
      <c r="P105" s="15"/>
      <c r="Q105" s="15"/>
      <c r="R105" s="23" t="s">
        <v>127</v>
      </c>
      <c r="S105" s="23"/>
      <c r="T105" s="17">
        <f>179428.37</f>
        <v>179428.37</v>
      </c>
      <c r="U105" s="17"/>
      <c r="V105" s="17"/>
      <c r="W105" s="17">
        <f>174399.02</f>
        <v>174399.02</v>
      </c>
      <c r="X105" s="17"/>
      <c r="Y105" s="17"/>
      <c r="Z105" s="17"/>
      <c r="AA105" s="17"/>
      <c r="AB105" s="52">
        <f>5029.35</f>
        <v>5029.35</v>
      </c>
      <c r="AC105" s="52"/>
    </row>
    <row r="106" spans="1:29" s="1" customFormat="1" ht="13.5" customHeight="1">
      <c r="A106" s="14" t="s">
        <v>122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105</v>
      </c>
      <c r="M106" s="15"/>
      <c r="N106" s="15"/>
      <c r="O106" s="15" t="s">
        <v>165</v>
      </c>
      <c r="P106" s="15"/>
      <c r="Q106" s="15"/>
      <c r="R106" s="23" t="s">
        <v>124</v>
      </c>
      <c r="S106" s="23"/>
      <c r="T106" s="17">
        <f>82300</f>
        <v>82300</v>
      </c>
      <c r="U106" s="17"/>
      <c r="V106" s="17"/>
      <c r="W106" s="17">
        <f>82300</f>
        <v>82300</v>
      </c>
      <c r="X106" s="17"/>
      <c r="Y106" s="17"/>
      <c r="Z106" s="17"/>
      <c r="AA106" s="17"/>
      <c r="AB106" s="52">
        <f>0</f>
        <v>0</v>
      </c>
      <c r="AC106" s="52"/>
    </row>
    <row r="107" spans="1:29" s="1" customFormat="1" ht="13.5" customHeight="1">
      <c r="A107" s="14" t="s">
        <v>134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105</v>
      </c>
      <c r="M107" s="15"/>
      <c r="N107" s="15"/>
      <c r="O107" s="15" t="s">
        <v>166</v>
      </c>
      <c r="P107" s="15"/>
      <c r="Q107" s="15"/>
      <c r="R107" s="23" t="s">
        <v>135</v>
      </c>
      <c r="S107" s="23"/>
      <c r="T107" s="17">
        <f>162425.81</f>
        <v>162425.81</v>
      </c>
      <c r="U107" s="17"/>
      <c r="V107" s="17"/>
      <c r="W107" s="17">
        <f>100931.66</f>
        <v>100931.66</v>
      </c>
      <c r="X107" s="17"/>
      <c r="Y107" s="17"/>
      <c r="Z107" s="17"/>
      <c r="AA107" s="17"/>
      <c r="AB107" s="52">
        <f>61494.15</f>
        <v>61494.15</v>
      </c>
      <c r="AC107" s="52"/>
    </row>
    <row r="108" spans="1:29" s="1" customFormat="1" ht="13.5" customHeight="1">
      <c r="A108" s="14" t="s">
        <v>136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105</v>
      </c>
      <c r="M108" s="15"/>
      <c r="N108" s="15"/>
      <c r="O108" s="15" t="s">
        <v>166</v>
      </c>
      <c r="P108" s="15"/>
      <c r="Q108" s="15"/>
      <c r="R108" s="23" t="s">
        <v>137</v>
      </c>
      <c r="S108" s="23"/>
      <c r="T108" s="17">
        <f>443465.1</f>
        <v>443465.1</v>
      </c>
      <c r="U108" s="17"/>
      <c r="V108" s="17"/>
      <c r="W108" s="17">
        <f>387810.85</f>
        <v>387810.85</v>
      </c>
      <c r="X108" s="17"/>
      <c r="Y108" s="17"/>
      <c r="Z108" s="17"/>
      <c r="AA108" s="17"/>
      <c r="AB108" s="52">
        <f>55654.25</f>
        <v>55654.25</v>
      </c>
      <c r="AC108" s="52"/>
    </row>
    <row r="109" spans="1:29" s="1" customFormat="1" ht="13.5" customHeight="1">
      <c r="A109" s="14" t="s">
        <v>125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105</v>
      </c>
      <c r="M109" s="15"/>
      <c r="N109" s="15"/>
      <c r="O109" s="15" t="s">
        <v>166</v>
      </c>
      <c r="P109" s="15"/>
      <c r="Q109" s="15"/>
      <c r="R109" s="23" t="s">
        <v>127</v>
      </c>
      <c r="S109" s="23"/>
      <c r="T109" s="17">
        <f>1774743.02</f>
        <v>1774743.02</v>
      </c>
      <c r="U109" s="17"/>
      <c r="V109" s="17"/>
      <c r="W109" s="17">
        <f>1774743.02</f>
        <v>1774743.02</v>
      </c>
      <c r="X109" s="17"/>
      <c r="Y109" s="17"/>
      <c r="Z109" s="17"/>
      <c r="AA109" s="17"/>
      <c r="AB109" s="52">
        <f>0</f>
        <v>0</v>
      </c>
      <c r="AC109" s="52"/>
    </row>
    <row r="110" spans="1:29" s="1" customFormat="1" ht="13.5" customHeight="1">
      <c r="A110" s="14" t="s">
        <v>122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105</v>
      </c>
      <c r="M110" s="15"/>
      <c r="N110" s="15"/>
      <c r="O110" s="15" t="s">
        <v>166</v>
      </c>
      <c r="P110" s="15"/>
      <c r="Q110" s="15"/>
      <c r="R110" s="23" t="s">
        <v>124</v>
      </c>
      <c r="S110" s="23"/>
      <c r="T110" s="17">
        <f>2149405</f>
        <v>2149405</v>
      </c>
      <c r="U110" s="17"/>
      <c r="V110" s="17"/>
      <c r="W110" s="21" t="s">
        <v>42</v>
      </c>
      <c r="X110" s="21"/>
      <c r="Y110" s="21"/>
      <c r="Z110" s="21"/>
      <c r="AA110" s="21"/>
      <c r="AB110" s="52">
        <f>2149405</f>
        <v>2149405</v>
      </c>
      <c r="AC110" s="52"/>
    </row>
    <row r="111" spans="1:29" s="1" customFormat="1" ht="13.5" customHeight="1">
      <c r="A111" s="14" t="s">
        <v>138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105</v>
      </c>
      <c r="M111" s="15"/>
      <c r="N111" s="15"/>
      <c r="O111" s="15" t="s">
        <v>166</v>
      </c>
      <c r="P111" s="15"/>
      <c r="Q111" s="15"/>
      <c r="R111" s="23" t="s">
        <v>139</v>
      </c>
      <c r="S111" s="23"/>
      <c r="T111" s="17">
        <f>69000</f>
        <v>69000</v>
      </c>
      <c r="U111" s="17"/>
      <c r="V111" s="17"/>
      <c r="W111" s="17">
        <f>69000</f>
        <v>69000</v>
      </c>
      <c r="X111" s="17"/>
      <c r="Y111" s="17"/>
      <c r="Z111" s="17"/>
      <c r="AA111" s="17"/>
      <c r="AB111" s="52">
        <f>0</f>
        <v>0</v>
      </c>
      <c r="AC111" s="52"/>
    </row>
    <row r="112" spans="1:29" s="1" customFormat="1" ht="13.5" customHeight="1">
      <c r="A112" s="14" t="s">
        <v>125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105</v>
      </c>
      <c r="M112" s="15"/>
      <c r="N112" s="15"/>
      <c r="O112" s="15" t="s">
        <v>167</v>
      </c>
      <c r="P112" s="15"/>
      <c r="Q112" s="15"/>
      <c r="R112" s="23" t="s">
        <v>127</v>
      </c>
      <c r="S112" s="23"/>
      <c r="T112" s="17">
        <f>500000</f>
        <v>500000</v>
      </c>
      <c r="U112" s="17"/>
      <c r="V112" s="17"/>
      <c r="W112" s="17">
        <f>199405</f>
        <v>199405</v>
      </c>
      <c r="X112" s="17"/>
      <c r="Y112" s="17"/>
      <c r="Z112" s="17"/>
      <c r="AA112" s="17"/>
      <c r="AB112" s="52">
        <f>300595</f>
        <v>300595</v>
      </c>
      <c r="AC112" s="52"/>
    </row>
    <row r="113" spans="1:29" s="1" customFormat="1" ht="13.5" customHeight="1">
      <c r="A113" s="14" t="s">
        <v>118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105</v>
      </c>
      <c r="M113" s="15"/>
      <c r="N113" s="15"/>
      <c r="O113" s="15" t="s">
        <v>168</v>
      </c>
      <c r="P113" s="15"/>
      <c r="Q113" s="15"/>
      <c r="R113" s="23" t="s">
        <v>120</v>
      </c>
      <c r="S113" s="23"/>
      <c r="T113" s="17">
        <f>70000</f>
        <v>70000</v>
      </c>
      <c r="U113" s="17"/>
      <c r="V113" s="17"/>
      <c r="W113" s="17">
        <f>41000</f>
        <v>41000</v>
      </c>
      <c r="X113" s="17"/>
      <c r="Y113" s="17"/>
      <c r="Z113" s="17"/>
      <c r="AA113" s="17"/>
      <c r="AB113" s="52">
        <f>29000</f>
        <v>29000</v>
      </c>
      <c r="AC113" s="52"/>
    </row>
    <row r="114" spans="1:29" s="1" customFormat="1" ht="13.5" customHeight="1">
      <c r="A114" s="14" t="s">
        <v>169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105</v>
      </c>
      <c r="M114" s="15"/>
      <c r="N114" s="15"/>
      <c r="O114" s="15" t="s">
        <v>170</v>
      </c>
      <c r="P114" s="15"/>
      <c r="Q114" s="15"/>
      <c r="R114" s="23" t="s">
        <v>171</v>
      </c>
      <c r="S114" s="23"/>
      <c r="T114" s="17">
        <f>14635907</f>
        <v>14635907</v>
      </c>
      <c r="U114" s="17"/>
      <c r="V114" s="17"/>
      <c r="W114" s="17">
        <f>14604821</f>
        <v>14604821</v>
      </c>
      <c r="X114" s="17"/>
      <c r="Y114" s="17"/>
      <c r="Z114" s="17"/>
      <c r="AA114" s="17"/>
      <c r="AB114" s="52">
        <f>31086</f>
        <v>31086</v>
      </c>
      <c r="AC114" s="52"/>
    </row>
    <row r="115" spans="1:29" s="1" customFormat="1" ht="15" customHeight="1">
      <c r="A115" s="48" t="s">
        <v>172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9" t="s">
        <v>173</v>
      </c>
      <c r="M115" s="49"/>
      <c r="N115" s="49"/>
      <c r="O115" s="49" t="s">
        <v>37</v>
      </c>
      <c r="P115" s="49"/>
      <c r="Q115" s="49"/>
      <c r="R115" s="50" t="s">
        <v>37</v>
      </c>
      <c r="S115" s="50"/>
      <c r="T115" s="51">
        <f>-25036870.31</f>
        <v>-25036870.31</v>
      </c>
      <c r="U115" s="51"/>
      <c r="V115" s="51"/>
      <c r="W115" s="51">
        <f>-18152585.22</f>
        <v>-18152585.22</v>
      </c>
      <c r="X115" s="51"/>
      <c r="Y115" s="51"/>
      <c r="Z115" s="51"/>
      <c r="AA115" s="51"/>
      <c r="AB115" s="43" t="s">
        <v>37</v>
      </c>
      <c r="AC115" s="43"/>
    </row>
    <row r="116" spans="1:29" s="1" customFormat="1" ht="13.5" customHeight="1">
      <c r="A116" s="8" t="s">
        <v>11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s="1" customFormat="1" ht="13.5" customHeight="1">
      <c r="A117" s="44" t="s">
        <v>174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1:29" s="1" customFormat="1" ht="45.75" customHeight="1">
      <c r="A118" s="45" t="s">
        <v>23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 t="s">
        <v>24</v>
      </c>
      <c r="N118" s="45"/>
      <c r="O118" s="45"/>
      <c r="P118" s="45" t="s">
        <v>175</v>
      </c>
      <c r="Q118" s="45"/>
      <c r="R118" s="45"/>
      <c r="S118" s="46" t="s">
        <v>26</v>
      </c>
      <c r="T118" s="46"/>
      <c r="U118" s="46"/>
      <c r="V118" s="46" t="s">
        <v>27</v>
      </c>
      <c r="W118" s="46"/>
      <c r="X118" s="46"/>
      <c r="Y118" s="46"/>
      <c r="Z118" s="46"/>
      <c r="AA118" s="47" t="s">
        <v>28</v>
      </c>
      <c r="AB118" s="47"/>
      <c r="AC118" s="47"/>
    </row>
    <row r="119" spans="1:29" s="1" customFormat="1" ht="12.75" customHeight="1">
      <c r="A119" s="40" t="s">
        <v>29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 t="s">
        <v>30</v>
      </c>
      <c r="N119" s="40"/>
      <c r="O119" s="40"/>
      <c r="P119" s="40" t="s">
        <v>31</v>
      </c>
      <c r="Q119" s="40"/>
      <c r="R119" s="40"/>
      <c r="S119" s="41" t="s">
        <v>32</v>
      </c>
      <c r="T119" s="41"/>
      <c r="U119" s="41"/>
      <c r="V119" s="41" t="s">
        <v>33</v>
      </c>
      <c r="W119" s="41"/>
      <c r="X119" s="41"/>
      <c r="Y119" s="41"/>
      <c r="Z119" s="41"/>
      <c r="AA119" s="42" t="s">
        <v>34</v>
      </c>
      <c r="AB119" s="42"/>
      <c r="AC119" s="42"/>
    </row>
    <row r="120" spans="1:29" s="1" customFormat="1" ht="13.5" customHeight="1">
      <c r="A120" s="35" t="s">
        <v>176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6" t="s">
        <v>177</v>
      </c>
      <c r="N120" s="36"/>
      <c r="O120" s="36"/>
      <c r="P120" s="36" t="s">
        <v>37</v>
      </c>
      <c r="Q120" s="36"/>
      <c r="R120" s="36"/>
      <c r="S120" s="37">
        <f>25036870.31</f>
        <v>25036870.31</v>
      </c>
      <c r="T120" s="37"/>
      <c r="U120" s="37"/>
      <c r="V120" s="38">
        <f>18152585.22</f>
        <v>18152585.22</v>
      </c>
      <c r="W120" s="38"/>
      <c r="X120" s="38"/>
      <c r="Y120" s="38"/>
      <c r="Z120" s="38"/>
      <c r="AA120" s="39" t="s">
        <v>37</v>
      </c>
      <c r="AB120" s="39"/>
      <c r="AC120" s="39"/>
    </row>
    <row r="121" spans="1:29" s="1" customFormat="1" ht="13.5" customHeight="1">
      <c r="A121" s="33" t="s">
        <v>178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24" t="s">
        <v>11</v>
      </c>
      <c r="N121" s="24"/>
      <c r="O121" s="24"/>
      <c r="P121" s="24" t="s">
        <v>11</v>
      </c>
      <c r="Q121" s="24"/>
      <c r="R121" s="24"/>
      <c r="S121" s="25" t="s">
        <v>11</v>
      </c>
      <c r="T121" s="25"/>
      <c r="U121" s="25"/>
      <c r="V121" s="34" t="s">
        <v>11</v>
      </c>
      <c r="W121" s="34"/>
      <c r="X121" s="34"/>
      <c r="Y121" s="34"/>
      <c r="Z121" s="34"/>
      <c r="AA121" s="26" t="s">
        <v>11</v>
      </c>
      <c r="AB121" s="26"/>
      <c r="AC121" s="26"/>
    </row>
    <row r="122" spans="1:29" s="1" customFormat="1" ht="13.5" customHeight="1">
      <c r="A122" s="27" t="s">
        <v>179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8" t="s">
        <v>180</v>
      </c>
      <c r="N122" s="28"/>
      <c r="O122" s="28"/>
      <c r="P122" s="29" t="s">
        <v>37</v>
      </c>
      <c r="Q122" s="29"/>
      <c r="R122" s="29"/>
      <c r="S122" s="30" t="s">
        <v>42</v>
      </c>
      <c r="T122" s="30"/>
      <c r="U122" s="30"/>
      <c r="V122" s="31" t="s">
        <v>42</v>
      </c>
      <c r="W122" s="31"/>
      <c r="X122" s="31"/>
      <c r="Y122" s="31"/>
      <c r="Z122" s="31"/>
      <c r="AA122" s="32" t="s">
        <v>42</v>
      </c>
      <c r="AB122" s="32"/>
      <c r="AC122" s="32"/>
    </row>
    <row r="123" spans="1:29" s="1" customFormat="1" ht="13.5" customHeight="1">
      <c r="A123" s="23" t="s">
        <v>11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1" customFormat="1" ht="13.5" customHeight="1">
      <c r="A124" s="14" t="s">
        <v>181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24" t="s">
        <v>182</v>
      </c>
      <c r="N124" s="24"/>
      <c r="O124" s="24"/>
      <c r="P124" s="24" t="s">
        <v>37</v>
      </c>
      <c r="Q124" s="24"/>
      <c r="R124" s="24"/>
      <c r="S124" s="25" t="s">
        <v>42</v>
      </c>
      <c r="T124" s="25"/>
      <c r="U124" s="25"/>
      <c r="V124" s="21" t="s">
        <v>42</v>
      </c>
      <c r="W124" s="21"/>
      <c r="X124" s="21"/>
      <c r="Y124" s="21"/>
      <c r="Z124" s="21"/>
      <c r="AA124" s="26" t="s">
        <v>42</v>
      </c>
      <c r="AB124" s="26"/>
      <c r="AC124" s="26"/>
    </row>
    <row r="125" spans="1:29" s="1" customFormat="1" ht="13.5" customHeight="1">
      <c r="A125" s="14" t="s">
        <v>11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5" t="s">
        <v>182</v>
      </c>
      <c r="N125" s="15"/>
      <c r="O125" s="15"/>
      <c r="P125" s="15" t="s">
        <v>11</v>
      </c>
      <c r="Q125" s="15"/>
      <c r="R125" s="15"/>
      <c r="S125" s="20" t="s">
        <v>42</v>
      </c>
      <c r="T125" s="20"/>
      <c r="U125" s="20"/>
      <c r="V125" s="21" t="s">
        <v>42</v>
      </c>
      <c r="W125" s="21"/>
      <c r="X125" s="21"/>
      <c r="Y125" s="21"/>
      <c r="Z125" s="21"/>
      <c r="AA125" s="22" t="s">
        <v>42</v>
      </c>
      <c r="AB125" s="22"/>
      <c r="AC125" s="22"/>
    </row>
    <row r="126" spans="1:29" s="1" customFormat="1" ht="13.5" customHeight="1">
      <c r="A126" s="14" t="s">
        <v>183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5" t="s">
        <v>184</v>
      </c>
      <c r="N126" s="15"/>
      <c r="O126" s="15"/>
      <c r="P126" s="15" t="s">
        <v>185</v>
      </c>
      <c r="Q126" s="15"/>
      <c r="R126" s="15"/>
      <c r="S126" s="16">
        <f>25036870.31</f>
        <v>25036870.31</v>
      </c>
      <c r="T126" s="16"/>
      <c r="U126" s="16"/>
      <c r="V126" s="17">
        <f>18152585.22</f>
        <v>18152585.22</v>
      </c>
      <c r="W126" s="17"/>
      <c r="X126" s="17"/>
      <c r="Y126" s="17"/>
      <c r="Z126" s="17"/>
      <c r="AA126" s="19">
        <f>6884285.09</f>
        <v>6884285.09</v>
      </c>
      <c r="AB126" s="19"/>
      <c r="AC126" s="19"/>
    </row>
    <row r="127" spans="1:29" s="1" customFormat="1" ht="13.5" customHeight="1">
      <c r="A127" s="14" t="s">
        <v>186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5" t="s">
        <v>187</v>
      </c>
      <c r="N127" s="15"/>
      <c r="O127" s="15"/>
      <c r="P127" s="15" t="s">
        <v>188</v>
      </c>
      <c r="Q127" s="15"/>
      <c r="R127" s="15"/>
      <c r="S127" s="16">
        <f>-55350273.29</f>
        <v>-55350273.29</v>
      </c>
      <c r="T127" s="16"/>
      <c r="U127" s="16"/>
      <c r="V127" s="17">
        <f>-V12</f>
        <v>-53559217.56</v>
      </c>
      <c r="W127" s="17"/>
      <c r="X127" s="17"/>
      <c r="Y127" s="17"/>
      <c r="Z127" s="17"/>
      <c r="AA127" s="18" t="s">
        <v>37</v>
      </c>
      <c r="AB127" s="18"/>
      <c r="AC127" s="18"/>
    </row>
    <row r="128" spans="1:29" s="1" customFormat="1" ht="13.5" customHeight="1">
      <c r="A128" s="14" t="s">
        <v>189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5" t="s">
        <v>190</v>
      </c>
      <c r="N128" s="15"/>
      <c r="O128" s="15"/>
      <c r="P128" s="15" t="s">
        <v>191</v>
      </c>
      <c r="Q128" s="15"/>
      <c r="R128" s="15"/>
      <c r="S128" s="16">
        <f>80387143.6</f>
        <v>80387143.6</v>
      </c>
      <c r="T128" s="16"/>
      <c r="U128" s="16"/>
      <c r="V128" s="17">
        <f>W54</f>
        <v>71711802.78</v>
      </c>
      <c r="W128" s="17"/>
      <c r="X128" s="17"/>
      <c r="Y128" s="17"/>
      <c r="Z128" s="17"/>
      <c r="AA128" s="18" t="s">
        <v>37</v>
      </c>
      <c r="AB128" s="18"/>
      <c r="AC128" s="18"/>
    </row>
    <row r="129" spans="1:29" s="1" customFormat="1" ht="13.5" customHeight="1">
      <c r="A129" s="13" t="s">
        <v>11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s="1" customFormat="1" ht="13.5" customHeight="1">
      <c r="A130" s="8" t="s">
        <v>192</v>
      </c>
      <c r="B130" s="8"/>
      <c r="C130" s="8"/>
      <c r="D130" s="8"/>
      <c r="E130" s="8"/>
      <c r="F130" s="8"/>
      <c r="G130" s="8"/>
      <c r="H130" s="8"/>
      <c r="I130" s="12" t="s">
        <v>11</v>
      </c>
      <c r="J130" s="12"/>
      <c r="K130" s="12"/>
      <c r="L130" s="12"/>
      <c r="M130" s="12"/>
      <c r="N130" s="12"/>
      <c r="O130" s="12"/>
      <c r="P130" s="12" t="s">
        <v>193</v>
      </c>
      <c r="Q130" s="12"/>
      <c r="R130" s="12"/>
      <c r="S130" s="12"/>
      <c r="T130" s="12"/>
      <c r="U130" s="8" t="s">
        <v>11</v>
      </c>
      <c r="V130" s="8"/>
      <c r="W130" s="8"/>
      <c r="X130" s="8"/>
      <c r="Y130" s="8"/>
      <c r="Z130" s="8"/>
      <c r="AA130" s="8"/>
      <c r="AB130" s="8"/>
      <c r="AC130" s="8"/>
    </row>
    <row r="131" spans="1:29" s="1" customFormat="1" ht="13.5" customHeight="1">
      <c r="A131" s="8" t="s">
        <v>11</v>
      </c>
      <c r="B131" s="8"/>
      <c r="C131" s="8"/>
      <c r="D131" s="8"/>
      <c r="E131" s="8"/>
      <c r="F131" s="8"/>
      <c r="G131" s="8"/>
      <c r="H131" s="8"/>
      <c r="I131" s="5" t="s">
        <v>11</v>
      </c>
      <c r="J131" s="11" t="s">
        <v>194</v>
      </c>
      <c r="K131" s="11"/>
      <c r="L131" s="11"/>
      <c r="M131" s="11"/>
      <c r="N131" s="8" t="s">
        <v>11</v>
      </c>
      <c r="O131" s="8"/>
      <c r="P131" s="5" t="s">
        <v>11</v>
      </c>
      <c r="Q131" s="11" t="s">
        <v>195</v>
      </c>
      <c r="R131" s="11"/>
      <c r="S131" s="11"/>
      <c r="T131" s="8" t="s">
        <v>11</v>
      </c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s="1" customFormat="1" ht="7.5" customHeight="1">
      <c r="A132" s="8" t="s">
        <v>11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1" customFormat="1" ht="13.5" customHeight="1">
      <c r="A133" s="8" t="s">
        <v>196</v>
      </c>
      <c r="B133" s="8"/>
      <c r="C133" s="8"/>
      <c r="D133" s="8"/>
      <c r="E133" s="8"/>
      <c r="F133" s="8"/>
      <c r="G133" s="8"/>
      <c r="H133" s="8"/>
      <c r="I133" s="12" t="s">
        <v>11</v>
      </c>
      <c r="J133" s="12"/>
      <c r="K133" s="12"/>
      <c r="L133" s="12"/>
      <c r="M133" s="12"/>
      <c r="N133" s="12"/>
      <c r="O133" s="12"/>
      <c r="P133" s="12" t="s">
        <v>197</v>
      </c>
      <c r="Q133" s="12"/>
      <c r="R133" s="12"/>
      <c r="S133" s="12"/>
      <c r="T133" s="12"/>
      <c r="U133" s="8" t="s">
        <v>11</v>
      </c>
      <c r="V133" s="8"/>
      <c r="W133" s="8"/>
      <c r="X133" s="8"/>
      <c r="Y133" s="8"/>
      <c r="Z133" s="8"/>
      <c r="AA133" s="8"/>
      <c r="AB133" s="8"/>
      <c r="AC133" s="8"/>
    </row>
    <row r="134" spans="1:29" s="1" customFormat="1" ht="13.5" customHeight="1">
      <c r="A134" s="8" t="s">
        <v>11</v>
      </c>
      <c r="B134" s="8"/>
      <c r="C134" s="8"/>
      <c r="D134" s="8"/>
      <c r="E134" s="8"/>
      <c r="F134" s="8"/>
      <c r="G134" s="8"/>
      <c r="H134" s="8"/>
      <c r="I134" s="5" t="s">
        <v>11</v>
      </c>
      <c r="J134" s="11" t="s">
        <v>194</v>
      </c>
      <c r="K134" s="11"/>
      <c r="L134" s="11"/>
      <c r="M134" s="11"/>
      <c r="N134" s="8" t="s">
        <v>11</v>
      </c>
      <c r="O134" s="8"/>
      <c r="P134" s="5" t="s">
        <v>11</v>
      </c>
      <c r="Q134" s="11" t="s">
        <v>195</v>
      </c>
      <c r="R134" s="11"/>
      <c r="S134" s="11"/>
      <c r="T134" s="8" t="s">
        <v>11</v>
      </c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7.5" customHeight="1">
      <c r="A135" s="8" t="s">
        <v>11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1" customFormat="1" ht="13.5" customHeight="1">
      <c r="A136" s="8" t="s">
        <v>198</v>
      </c>
      <c r="B136" s="8"/>
      <c r="C136" s="12" t="s">
        <v>196</v>
      </c>
      <c r="D136" s="12"/>
      <c r="E136" s="12"/>
      <c r="F136" s="12"/>
      <c r="G136" s="12"/>
      <c r="H136" s="12"/>
      <c r="I136" s="12" t="s">
        <v>11</v>
      </c>
      <c r="J136" s="12"/>
      <c r="K136" s="12"/>
      <c r="L136" s="12"/>
      <c r="M136" s="12"/>
      <c r="N136" s="12"/>
      <c r="O136" s="12"/>
      <c r="P136" s="12" t="s">
        <v>197</v>
      </c>
      <c r="Q136" s="12"/>
      <c r="R136" s="12"/>
      <c r="S136" s="12"/>
      <c r="T136" s="12"/>
      <c r="U136" s="8" t="s">
        <v>11</v>
      </c>
      <c r="V136" s="8"/>
      <c r="W136" s="8"/>
      <c r="X136" s="8"/>
      <c r="Y136" s="8"/>
      <c r="Z136" s="8"/>
      <c r="AA136" s="8"/>
      <c r="AB136" s="8"/>
      <c r="AC136" s="8"/>
    </row>
    <row r="137" spans="1:29" s="1" customFormat="1" ht="13.5" customHeight="1">
      <c r="A137" s="8" t="s">
        <v>11</v>
      </c>
      <c r="B137" s="8"/>
      <c r="C137" s="5" t="s">
        <v>11</v>
      </c>
      <c r="D137" s="11" t="s">
        <v>199</v>
      </c>
      <c r="E137" s="11"/>
      <c r="F137" s="11"/>
      <c r="G137" s="11"/>
      <c r="H137" s="5" t="s">
        <v>11</v>
      </c>
      <c r="I137" s="5" t="s">
        <v>11</v>
      </c>
      <c r="J137" s="11" t="s">
        <v>194</v>
      </c>
      <c r="K137" s="11"/>
      <c r="L137" s="11"/>
      <c r="M137" s="11"/>
      <c r="N137" s="8" t="s">
        <v>11</v>
      </c>
      <c r="O137" s="8"/>
      <c r="P137" s="5" t="s">
        <v>11</v>
      </c>
      <c r="Q137" s="11" t="s">
        <v>195</v>
      </c>
      <c r="R137" s="11"/>
      <c r="S137" s="11"/>
      <c r="T137" s="8" t="s">
        <v>11</v>
      </c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5.75" customHeight="1">
      <c r="A138" s="8" t="s">
        <v>11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1" customFormat="1" ht="13.5" customHeight="1">
      <c r="A139" s="9" t="s">
        <v>200</v>
      </c>
      <c r="B139" s="9"/>
      <c r="C139" s="9"/>
      <c r="D139" s="9"/>
      <c r="E139" s="9"/>
      <c r="F139" s="9"/>
      <c r="G139" s="9"/>
      <c r="H139" s="9"/>
      <c r="I139" s="9"/>
      <c r="J139" s="9"/>
      <c r="K139" s="8" t="s">
        <v>11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1" customFormat="1" ht="13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</sheetData>
  <sheetProtection/>
  <mergeCells count="805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A48:L48"/>
    <mergeCell ref="M48:O48"/>
    <mergeCell ref="P48:R48"/>
    <mergeCell ref="S48:U48"/>
    <mergeCell ref="V48:Z48"/>
    <mergeCell ref="AA48:AC48"/>
    <mergeCell ref="A49:L49"/>
    <mergeCell ref="M49:O49"/>
    <mergeCell ref="P49:R49"/>
    <mergeCell ref="S49:U49"/>
    <mergeCell ref="V49:Z49"/>
    <mergeCell ref="AA49:AC49"/>
    <mergeCell ref="A50:AC50"/>
    <mergeCell ref="A51:AC51"/>
    <mergeCell ref="A52:K52"/>
    <mergeCell ref="L52:N52"/>
    <mergeCell ref="O52:Q52"/>
    <mergeCell ref="R52:S52"/>
    <mergeCell ref="T52:V52"/>
    <mergeCell ref="W52:AA52"/>
    <mergeCell ref="AB52:AC52"/>
    <mergeCell ref="W54:AA54"/>
    <mergeCell ref="AB54:AC54"/>
    <mergeCell ref="A53:K53"/>
    <mergeCell ref="L53:N53"/>
    <mergeCell ref="O53:Q53"/>
    <mergeCell ref="R53:S53"/>
    <mergeCell ref="T53:V53"/>
    <mergeCell ref="W53:AA53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W58:AA58"/>
    <mergeCell ref="AB58:AC58"/>
    <mergeCell ref="A57:K57"/>
    <mergeCell ref="L57:N57"/>
    <mergeCell ref="O57:Q57"/>
    <mergeCell ref="R57:S57"/>
    <mergeCell ref="T57:V57"/>
    <mergeCell ref="W57:AA57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W62:AA62"/>
    <mergeCell ref="AB62:AC62"/>
    <mergeCell ref="A61:K61"/>
    <mergeCell ref="L61:N61"/>
    <mergeCell ref="O61:Q61"/>
    <mergeCell ref="R61:S61"/>
    <mergeCell ref="T61:V61"/>
    <mergeCell ref="W61:AA61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0:AA90"/>
    <mergeCell ref="AB90:AC90"/>
    <mergeCell ref="A89:K89"/>
    <mergeCell ref="L89:N89"/>
    <mergeCell ref="O89:Q89"/>
    <mergeCell ref="R89:S89"/>
    <mergeCell ref="T89:V89"/>
    <mergeCell ref="W89:AA89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W98:AA98"/>
    <mergeCell ref="AB98:AC98"/>
    <mergeCell ref="A97:K97"/>
    <mergeCell ref="L97:N97"/>
    <mergeCell ref="O97:Q97"/>
    <mergeCell ref="R97:S97"/>
    <mergeCell ref="T97:V97"/>
    <mergeCell ref="W97:AA97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A113:K113"/>
    <mergeCell ref="L113:N113"/>
    <mergeCell ref="O113:Q113"/>
    <mergeCell ref="R113:S113"/>
    <mergeCell ref="T113:V113"/>
    <mergeCell ref="W113:AA113"/>
    <mergeCell ref="A114:K114"/>
    <mergeCell ref="L114:N114"/>
    <mergeCell ref="O114:Q114"/>
    <mergeCell ref="R114:S114"/>
    <mergeCell ref="T114:V114"/>
    <mergeCell ref="W114:AA114"/>
    <mergeCell ref="L115:N115"/>
    <mergeCell ref="O115:Q115"/>
    <mergeCell ref="R115:S115"/>
    <mergeCell ref="T115:V115"/>
    <mergeCell ref="W115:AA115"/>
    <mergeCell ref="AB113:AC113"/>
    <mergeCell ref="AB114:AC114"/>
    <mergeCell ref="AB115:AC115"/>
    <mergeCell ref="A116:AC116"/>
    <mergeCell ref="A117:AC117"/>
    <mergeCell ref="A118:L118"/>
    <mergeCell ref="M118:O118"/>
    <mergeCell ref="P118:R118"/>
    <mergeCell ref="S118:U118"/>
    <mergeCell ref="V118:Z118"/>
    <mergeCell ref="AA118:AC118"/>
    <mergeCell ref="A115:K115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L121"/>
    <mergeCell ref="M121:O121"/>
    <mergeCell ref="P121:R121"/>
    <mergeCell ref="S121:U121"/>
    <mergeCell ref="V121:Z121"/>
    <mergeCell ref="AA121:AC121"/>
    <mergeCell ref="A122:L122"/>
    <mergeCell ref="M122:O122"/>
    <mergeCell ref="P122:R122"/>
    <mergeCell ref="S122:U122"/>
    <mergeCell ref="V122:Z122"/>
    <mergeCell ref="AA122:AC122"/>
    <mergeCell ref="A123:AC123"/>
    <mergeCell ref="A124:L124"/>
    <mergeCell ref="M124:O124"/>
    <mergeCell ref="P124:R124"/>
    <mergeCell ref="S124:U124"/>
    <mergeCell ref="V124:Z124"/>
    <mergeCell ref="A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L127"/>
    <mergeCell ref="M127:O127"/>
    <mergeCell ref="P127:R127"/>
    <mergeCell ref="S127:U127"/>
    <mergeCell ref="V127:Z127"/>
    <mergeCell ref="AA127:AC127"/>
    <mergeCell ref="A128:L128"/>
    <mergeCell ref="M128:O128"/>
    <mergeCell ref="P128:R128"/>
    <mergeCell ref="S128:U128"/>
    <mergeCell ref="V128:Z128"/>
    <mergeCell ref="AA128:AC128"/>
    <mergeCell ref="A129:AC129"/>
    <mergeCell ref="A130:H130"/>
    <mergeCell ref="I130:O130"/>
    <mergeCell ref="P130:T130"/>
    <mergeCell ref="U130:AC130"/>
    <mergeCell ref="A131:H131"/>
    <mergeCell ref="J131:M131"/>
    <mergeCell ref="N131:O131"/>
    <mergeCell ref="Q131:S131"/>
    <mergeCell ref="T131:AC131"/>
    <mergeCell ref="A132:AC132"/>
    <mergeCell ref="A133:H133"/>
    <mergeCell ref="I133:O133"/>
    <mergeCell ref="P133:T133"/>
    <mergeCell ref="U133:AC133"/>
    <mergeCell ref="A134:H134"/>
    <mergeCell ref="J134:M134"/>
    <mergeCell ref="N134:O134"/>
    <mergeCell ref="Q134:S134"/>
    <mergeCell ref="T134:AC134"/>
    <mergeCell ref="A135:AC135"/>
    <mergeCell ref="A136:B136"/>
    <mergeCell ref="C136:H136"/>
    <mergeCell ref="I136:O136"/>
    <mergeCell ref="P136:T136"/>
    <mergeCell ref="U136:AC136"/>
    <mergeCell ref="A138:AC138"/>
    <mergeCell ref="A139:J139"/>
    <mergeCell ref="K139:AC139"/>
    <mergeCell ref="A140:AC140"/>
    <mergeCell ref="A137:B137"/>
    <mergeCell ref="D137:G137"/>
    <mergeCell ref="J137:M137"/>
    <mergeCell ref="N137:O137"/>
    <mergeCell ref="Q137:S137"/>
    <mergeCell ref="T137:AC137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50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SheremetovaOV</dc:creator>
  <cp:keywords/>
  <dc:description/>
  <cp:lastModifiedBy>ShabalinaOV</cp:lastModifiedBy>
  <cp:lastPrinted>2017-11-02T06:35:16Z</cp:lastPrinted>
  <dcterms:created xsi:type="dcterms:W3CDTF">2017-11-02T06:36:35Z</dcterms:created>
  <dcterms:modified xsi:type="dcterms:W3CDTF">2017-11-02T06:40:03Z</dcterms:modified>
  <cp:category/>
  <cp:version/>
  <cp:contentType/>
  <cp:contentStatus/>
</cp:coreProperties>
</file>