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<sst xmlns="http://schemas.openxmlformats.org/spreadsheetml/2006/main" count="628" uniqueCount="219">
  <si>
    <t>ОТЧЕТ ОБ ИСПОЛНЕНИИ БЮДЖЕТА</t>
  </si>
  <si>
    <t>КОДЫ</t>
  </si>
  <si>
    <t xml:space="preserve">Форма по ОКУД </t>
  </si>
  <si>
    <t>0503117</t>
  </si>
  <si>
    <t>на 1 ноября 2018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</si>
  <si>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</si>
  <si>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</si>
  <si>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</si>
  <si>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</si>
  <si>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</si>
  <si>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</si>
  <si>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</si>
  <si>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</si>
  <si>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</si>
  <si>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</si>
  <si>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</si>
  <si>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</si>
  <si>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</si>
  <si>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</si>
  <si>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</si>
  <si>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</si>
  <si>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</si>
  <si>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</si>
  <si>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</si>
  <si>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</si>
  <si>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</si>
  <si>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</si>
  <si>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</si>
  <si>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</si>
  <si>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</si>
  <si>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</si>
  <si>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</si>
  <si>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</si>
  <si>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</si>
  <si>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</si>
  <si>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</si>
  <si>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</si>
  <si>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</si>
  <si>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</si>
  <si>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</si>
  <si>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</si>
  <si>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</si>
  <si>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</si>
  <si>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</si>
  <si>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</si>
  <si>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</si>
  <si>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</si>
  <si>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</si>
  <si>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</si>
  <si>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</si>
  <si>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</si>
  <si>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</si>
  <si>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</si>
  <si>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</si>
  <si>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</si>
  <si>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</si>
  <si>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</si>
  <si>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</si>
  <si>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</si>
  <si>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</si>
  <si>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</si>
  <si>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</si>
  <si>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</si>
  <si>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</si>
  <si>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</si>
  <si>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</si>
  <si>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</si>
  <si>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</si>
  <si>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</si>
  <si>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</si>
  <si>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</si>
  <si>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</si>
  <si>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</si>
  <si>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</si>
  <si>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</si>
  <si>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</si>
  <si>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</si>
  <si>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</si>
  <si>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</si>
  <si>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</si>
  <si>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</si>
  <si>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</si>
  <si>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</si>
  <si>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</si>
  <si>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</si>
  <si>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</si>
  <si>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</si>
  <si>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</si>
  <si>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</si>
  <si>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</si>
  <si>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</si>
  <si>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</si>
  <si>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</si>
  <si>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</si>
  <si>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</si>
  <si>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</si>
  <si>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выполнение передаваемых полномочий субъектов Российской Федерации</t>
  </si>
  <si>
    <t>650 20230024 10 0000 151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</si>
  <si>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</si>
  <si>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</si>
  <si>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</si>
  <si>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</si>
  <si>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Прочие безвозмездные поступления в бюджеты сельских поселений</t>
  </si>
  <si>
    <t>650 20705030 10 0000 180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</si>
  <si>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</si>
  <si>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</si>
  <si>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</si>
  <si>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</si>
  <si>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</si>
  <si>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</si>
  <si>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</si>
  <si>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</si>
  <si>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</si>
  <si>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Начисления на выплаты по оплате труда</t>
  </si>
  <si>
    <t>650 0102 5010002030 129</t>
  </si>
  <si>
    <t>213</t>
  </si>
  <si>
    <t>650 0104 5010002040 121</t>
  </si>
  <si>
    <t>Прочие выплаты</t>
  </si>
  <si>
    <t>650 0104 5010002040 122</t>
  </si>
  <si>
    <t>212</t>
  </si>
  <si>
    <t>650 0104 5010002040 129</t>
  </si>
  <si>
    <t>650 0104 5010085150 121</t>
  </si>
  <si>
    <t>650 0104 5010085150 129</t>
  </si>
  <si>
    <t>Иные расходы</t>
  </si>
  <si>
    <t>650 0107 5030000020 244</t>
  </si>
  <si>
    <t>296</t>
  </si>
  <si>
    <t>650 0111 5000020940 870</t>
  </si>
  <si>
    <t>650 0113 5000000600 111</t>
  </si>
  <si>
    <t>650 0113 5000000600 112</t>
  </si>
  <si>
    <t>650 0113 5000000600 119</t>
  </si>
  <si>
    <t>Услуги связи</t>
  </si>
  <si>
    <t>650 0113 5000000600 244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</si>
  <si>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</si>
  <si>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</si>
  <si>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</si>
  <si>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</si>
  <si>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</si>
  <si>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</si>
  <si>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</si>
  <si>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</si>
  <si>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</si>
  <si>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</si>
  <si>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</si>
  <si>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</si>
  <si>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</si>
  <si>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</si>
  <si>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650 0113 5000000600 851</t>
  </si>
  <si>
    <t>291</t>
  </si>
  <si>
    <t>650 0113 5000000600 852</t>
  </si>
  <si>
    <t>Штрафы за нарушение законодательства о налогах и сборах, законодательства о страховых взносах</t>
  </si>
  <si>
    <t>650 0113 5000000600 853</t>
  </si>
  <si>
    <t>292</t>
  </si>
  <si>
    <t>650 0113 5000009200 360</t>
  </si>
  <si>
    <t>650 0113 5000009200 853</t>
  </si>
  <si>
    <t>650 0113 5000009300 244</t>
  </si>
  <si>
    <t>650 0113 5000009300 851</t>
  </si>
  <si>
    <t>650 0113 5000009300 852</t>
  </si>
  <si>
    <t>650 0113 5000009300 853</t>
  </si>
  <si>
    <t>650 0113 5000085150 111</t>
  </si>
  <si>
    <t>650 0113 5000085150 119</t>
  </si>
  <si>
    <t>650 0203 5000051180 121</t>
  </si>
  <si>
    <t>650 0203 5000051180 129</t>
  </si>
  <si>
    <t>650 0203 5010085150 121</t>
  </si>
  <si>
    <t>650 0203 5010085150 129</t>
  </si>
  <si>
    <t>650 0309 5000003090 244</t>
  </si>
  <si>
    <t>650 0314 0200199990 244</t>
  </si>
  <si>
    <t>650 0314 0300182300 123</t>
  </si>
  <si>
    <t>650 0314 03001S2300 123</t>
  </si>
  <si>
    <t>650 0314 0300299990 244</t>
  </si>
  <si>
    <t>650 0314 0300382290 244</t>
  </si>
  <si>
    <t>650 0314 0300399990 244</t>
  </si>
  <si>
    <t>650 0314 03003S2290 244</t>
  </si>
  <si>
    <t>650 0409 0100182390 244</t>
  </si>
  <si>
    <t>650 0409 01001S2390 244</t>
  </si>
  <si>
    <t>650 0409 0100220902 244</t>
  </si>
  <si>
    <t>650 0410 0400120904 242</t>
  </si>
  <si>
    <t>650 0410 0400199990 242</t>
  </si>
  <si>
    <t>650 0501 0800199990 244</t>
  </si>
  <si>
    <t>650 0501 0800299990 244</t>
  </si>
  <si>
    <t>650 0503 0500220642 244</t>
  </si>
  <si>
    <t>650 0503 0500299990 244</t>
  </si>
  <si>
    <t>650 0503 0500399990 244</t>
  </si>
  <si>
    <t>650 0503 0500499990 244</t>
  </si>
  <si>
    <t>650 0605 1200284290 244</t>
  </si>
  <si>
    <t>650 0705 0600102040 244</t>
  </si>
  <si>
    <t>650 0705 5000000600 244</t>
  </si>
  <si>
    <t>650 0707 0700199990 244</t>
  </si>
  <si>
    <t>Перечисления другим бюджетам бюджетной системы Российской Федерации</t>
  </si>
  <si>
    <t>650 1403 5000089020 540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</si>
  <si>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</si>
  <si>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</si>
  <si>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</si>
  <si>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</si>
  <si>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</si>
  <si>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</si>
  <si>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</si>
  <si>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</si>
  <si>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</si>
  <si>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</si>
  <si>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</si>
  <si>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</si>
  <si>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</si>
  <si>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</si>
  <si>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</si>
  <si>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</si>
  <si>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</si>
  <si>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</si>
  <si>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</si>
  <si>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</si>
  <si>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</si>
  <si>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</si>
  <si>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</si>
  <si>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</si>
  <si>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</si>
  <si>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</si>
  <si>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</si>
  <si>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</si>
  <si>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</si>
  <si>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6 ноября 2018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</si>
</sst>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4"/>
  <sheetViews>
    <sheetView tabSelected="1" zoomScalePageLayoutView="0" workbookViewId="0" topLeftCell="A12">
      <selection activeCell="A21" sqref="A21:IV2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43405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11</v>
      </c>
    </row>
    <row r="6" spans="1:29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14</v>
      </c>
      <c r="Z6" s="9"/>
      <c r="AA6" s="9"/>
      <c r="AB6" s="9"/>
      <c r="AC6" s="6" t="s">
        <v>15</v>
      </c>
    </row>
    <row r="7" spans="1:29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11</v>
      </c>
    </row>
    <row r="8" spans="1:29" s="1" customFormat="1" ht="13.5" customHeight="1">
      <c r="A8" s="10" t="s">
        <v>18</v>
      </c>
      <c r="B8" s="10"/>
      <c r="C8" s="10"/>
      <c r="D8" s="10"/>
      <c r="E8" s="10" t="s">
        <v>19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20</v>
      </c>
      <c r="Y8" s="9"/>
      <c r="Z8" s="9"/>
      <c r="AA8" s="9"/>
      <c r="AB8" s="9"/>
      <c r="AC8" s="7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48118891.3</f>
        <v>48118891.3</v>
      </c>
      <c r="T12" s="21"/>
      <c r="U12" s="21"/>
      <c r="V12" s="21">
        <f>42838568.58</f>
        <v>42838568.58</v>
      </c>
      <c r="W12" s="21"/>
      <c r="X12" s="21"/>
      <c r="Y12" s="21"/>
      <c r="Z12" s="21"/>
      <c r="AA12" s="22">
        <f>5280322.72</f>
        <v>5280322.72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125000</f>
        <v>125000</v>
      </c>
      <c r="T13" s="25"/>
      <c r="U13" s="25"/>
      <c r="V13" s="25">
        <f>153284.14</f>
        <v>153284.14</v>
      </c>
      <c r="W13" s="25"/>
      <c r="X13" s="25"/>
      <c r="Y13" s="25"/>
      <c r="Z13" s="25"/>
      <c r="AA13" s="26" t="s">
        <v>40</v>
      </c>
      <c r="AB13" s="26"/>
      <c r="AC13" s="26"/>
    </row>
    <row r="14" spans="1:29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42</v>
      </c>
      <c r="Q14" s="24"/>
      <c r="R14" s="24"/>
      <c r="S14" s="25">
        <f>1000</f>
        <v>1000</v>
      </c>
      <c r="T14" s="25"/>
      <c r="U14" s="25"/>
      <c r="V14" s="25">
        <f>1422.17</f>
        <v>1422.17</v>
      </c>
      <c r="W14" s="25"/>
      <c r="X14" s="25"/>
      <c r="Y14" s="25"/>
      <c r="Z14" s="25"/>
      <c r="AA14" s="26" t="s">
        <v>40</v>
      </c>
      <c r="AB14" s="26"/>
      <c r="AC14" s="26"/>
    </row>
    <row r="15" spans="1:29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44</v>
      </c>
      <c r="Q15" s="24"/>
      <c r="R15" s="24"/>
      <c r="S15" s="25">
        <f>234000</f>
        <v>234000</v>
      </c>
      <c r="T15" s="25"/>
      <c r="U15" s="25"/>
      <c r="V15" s="25">
        <f>227438.9</f>
        <v>227438.9</v>
      </c>
      <c r="W15" s="25"/>
      <c r="X15" s="25"/>
      <c r="Y15" s="25"/>
      <c r="Z15" s="25"/>
      <c r="AA15" s="27">
        <f>6561.1</f>
        <v>6561.1</v>
      </c>
      <c r="AB15" s="27"/>
      <c r="AC15" s="27"/>
    </row>
    <row r="16" spans="1:29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46</v>
      </c>
      <c r="Q16" s="24"/>
      <c r="R16" s="24"/>
      <c r="S16" s="28" t="s">
        <v>40</v>
      </c>
      <c r="T16" s="28"/>
      <c r="U16" s="28"/>
      <c r="V16" s="25">
        <f>-34623.96</f>
        <v>-34623.96</v>
      </c>
      <c r="W16" s="25"/>
      <c r="X16" s="25"/>
      <c r="Y16" s="25"/>
      <c r="Z16" s="25"/>
      <c r="AA16" s="26" t="s">
        <v>40</v>
      </c>
      <c r="AB16" s="26"/>
      <c r="AC16" s="26"/>
    </row>
    <row r="17" spans="1:29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48</v>
      </c>
      <c r="Q17" s="24"/>
      <c r="R17" s="24"/>
      <c r="S17" s="25">
        <f>12000000</f>
        <v>12000000</v>
      </c>
      <c r="T17" s="25"/>
      <c r="U17" s="25"/>
      <c r="V17" s="28" t="s">
        <v>40</v>
      </c>
      <c r="W17" s="28"/>
      <c r="X17" s="28"/>
      <c r="Y17" s="28"/>
      <c r="Z17" s="28"/>
      <c r="AA17" s="27">
        <f>12000000</f>
        <v>12000000</v>
      </c>
      <c r="AB17" s="27"/>
      <c r="AC17" s="27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8" t="s">
        <v>40</v>
      </c>
      <c r="T18" s="28"/>
      <c r="U18" s="28"/>
      <c r="V18" s="25">
        <f>11018837.11</f>
        <v>11018837.11</v>
      </c>
      <c r="W18" s="25"/>
      <c r="X18" s="25"/>
      <c r="Y18" s="25"/>
      <c r="Z18" s="25"/>
      <c r="AA18" s="26" t="s">
        <v>40</v>
      </c>
      <c r="AB18" s="26"/>
      <c r="AC18" s="26"/>
    </row>
    <row r="19" spans="1:29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8" t="s">
        <v>40</v>
      </c>
      <c r="T19" s="28"/>
      <c r="U19" s="28"/>
      <c r="V19" s="25">
        <f>5685.72</f>
        <v>5685.72</v>
      </c>
      <c r="W19" s="25"/>
      <c r="X19" s="25"/>
      <c r="Y19" s="25"/>
      <c r="Z19" s="25"/>
      <c r="AA19" s="26" t="s">
        <v>40</v>
      </c>
      <c r="AB19" s="26"/>
      <c r="AC19" s="26"/>
    </row>
    <row r="20" spans="1:29" s="1" customFormat="1" ht="4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51</v>
      </c>
      <c r="Q20" s="24"/>
      <c r="R20" s="24"/>
      <c r="S20" s="28" t="s">
        <v>40</v>
      </c>
      <c r="T20" s="28"/>
      <c r="U20" s="28"/>
      <c r="V20" s="25">
        <f>312.8</f>
        <v>312.8</v>
      </c>
      <c r="W20" s="25"/>
      <c r="X20" s="25"/>
      <c r="Y20" s="25"/>
      <c r="Z20" s="25"/>
      <c r="AA20" s="26" t="s">
        <v>40</v>
      </c>
      <c r="AB20" s="26"/>
      <c r="AC20" s="26"/>
    </row>
    <row r="21" spans="1:29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5">
        <f>5000</f>
        <v>5000</v>
      </c>
      <c r="T21" s="25"/>
      <c r="U21" s="25"/>
      <c r="V21" s="28" t="s">
        <v>40</v>
      </c>
      <c r="W21" s="28"/>
      <c r="X21" s="28"/>
      <c r="Y21" s="28"/>
      <c r="Z21" s="28"/>
      <c r="AA21" s="27">
        <f>5000</f>
        <v>5000</v>
      </c>
      <c r="AB21" s="27"/>
      <c r="AC21" s="27"/>
    </row>
    <row r="22" spans="1:29" s="1" customFormat="1" ht="24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54</v>
      </c>
      <c r="Q22" s="24"/>
      <c r="R22" s="24"/>
      <c r="S22" s="28" t="s">
        <v>40</v>
      </c>
      <c r="T22" s="28"/>
      <c r="U22" s="28"/>
      <c r="V22" s="25">
        <f>1101.1</f>
        <v>1101.1</v>
      </c>
      <c r="W22" s="25"/>
      <c r="X22" s="25"/>
      <c r="Y22" s="25"/>
      <c r="Z22" s="25"/>
      <c r="AA22" s="26" t="s">
        <v>40</v>
      </c>
      <c r="AB22" s="26"/>
      <c r="AC22" s="26"/>
    </row>
    <row r="23" spans="1:29" s="1" customFormat="1" ht="24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55</v>
      </c>
      <c r="Q23" s="24"/>
      <c r="R23" s="24"/>
      <c r="S23" s="28" t="s">
        <v>40</v>
      </c>
      <c r="T23" s="28"/>
      <c r="U23" s="28"/>
      <c r="V23" s="25">
        <f>14.07</f>
        <v>14.07</v>
      </c>
      <c r="W23" s="25"/>
      <c r="X23" s="25"/>
      <c r="Y23" s="25"/>
      <c r="Z23" s="25"/>
      <c r="AA23" s="26" t="s">
        <v>40</v>
      </c>
      <c r="AB23" s="26"/>
      <c r="AC23" s="26"/>
    </row>
    <row r="24" spans="1:29" s="1" customFormat="1" ht="24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56</v>
      </c>
      <c r="Q24" s="24"/>
      <c r="R24" s="24"/>
      <c r="S24" s="28" t="s">
        <v>40</v>
      </c>
      <c r="T24" s="28"/>
      <c r="U24" s="28"/>
      <c r="V24" s="25">
        <f>50</f>
        <v>50</v>
      </c>
      <c r="W24" s="25"/>
      <c r="X24" s="25"/>
      <c r="Y24" s="25"/>
      <c r="Z24" s="25"/>
      <c r="AA24" s="26" t="s">
        <v>40</v>
      </c>
      <c r="AB24" s="26"/>
      <c r="AC24" s="26"/>
    </row>
    <row r="25" spans="1:29" s="1" customFormat="1" ht="13.5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58</v>
      </c>
      <c r="Q25" s="24"/>
      <c r="R25" s="24"/>
      <c r="S25" s="25">
        <f>113000</f>
        <v>113000</v>
      </c>
      <c r="T25" s="25"/>
      <c r="U25" s="25"/>
      <c r="V25" s="28" t="s">
        <v>40</v>
      </c>
      <c r="W25" s="28"/>
      <c r="X25" s="28"/>
      <c r="Y25" s="28"/>
      <c r="Z25" s="28"/>
      <c r="AA25" s="27">
        <f>113000</f>
        <v>113000</v>
      </c>
      <c r="AB25" s="27"/>
      <c r="AC25" s="27"/>
    </row>
    <row r="26" spans="1:29" s="1" customFormat="1" ht="13.5" customHeight="1">
      <c r="A26" s="23" t="s">
        <v>57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59</v>
      </c>
      <c r="Q26" s="24"/>
      <c r="R26" s="24"/>
      <c r="S26" s="28" t="s">
        <v>40</v>
      </c>
      <c r="T26" s="28"/>
      <c r="U26" s="28"/>
      <c r="V26" s="25">
        <f>159376.5</f>
        <v>159376.5</v>
      </c>
      <c r="W26" s="25"/>
      <c r="X26" s="25"/>
      <c r="Y26" s="25"/>
      <c r="Z26" s="25"/>
      <c r="AA26" s="26" t="s">
        <v>40</v>
      </c>
      <c r="AB26" s="26"/>
      <c r="AC26" s="26"/>
    </row>
    <row r="27" spans="1:29" s="1" customFormat="1" ht="13.5" customHeight="1">
      <c r="A27" s="23" t="s">
        <v>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60</v>
      </c>
      <c r="Q27" s="24"/>
      <c r="R27" s="24"/>
      <c r="S27" s="28" t="s">
        <v>40</v>
      </c>
      <c r="T27" s="28"/>
      <c r="U27" s="28"/>
      <c r="V27" s="25">
        <f>65.81</f>
        <v>65.81</v>
      </c>
      <c r="W27" s="25"/>
      <c r="X27" s="25"/>
      <c r="Y27" s="25"/>
      <c r="Z27" s="25"/>
      <c r="AA27" s="26" t="s">
        <v>40</v>
      </c>
      <c r="AB27" s="26"/>
      <c r="AC27" s="26"/>
    </row>
    <row r="28" spans="1:29" s="1" customFormat="1" ht="13.5" customHeight="1">
      <c r="A28" s="23" t="s">
        <v>57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61</v>
      </c>
      <c r="Q28" s="24"/>
      <c r="R28" s="24"/>
      <c r="S28" s="28" t="s">
        <v>40</v>
      </c>
      <c r="T28" s="28"/>
      <c r="U28" s="28"/>
      <c r="V28" s="25">
        <f>680</f>
        <v>680</v>
      </c>
      <c r="W28" s="25"/>
      <c r="X28" s="25"/>
      <c r="Y28" s="25"/>
      <c r="Z28" s="25"/>
      <c r="AA28" s="26" t="s">
        <v>40</v>
      </c>
      <c r="AB28" s="26"/>
      <c r="AC28" s="26"/>
    </row>
    <row r="29" spans="1:29" s="1" customFormat="1" ht="24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63</v>
      </c>
      <c r="Q29" s="24"/>
      <c r="R29" s="24"/>
      <c r="S29" s="25">
        <f>300000</f>
        <v>300000</v>
      </c>
      <c r="T29" s="25"/>
      <c r="U29" s="25"/>
      <c r="V29" s="28" t="s">
        <v>40</v>
      </c>
      <c r="W29" s="28"/>
      <c r="X29" s="28"/>
      <c r="Y29" s="28"/>
      <c r="Z29" s="28"/>
      <c r="AA29" s="27">
        <f>300000</f>
        <v>300000</v>
      </c>
      <c r="AB29" s="27"/>
      <c r="AC29" s="27"/>
    </row>
    <row r="30" spans="1:29" s="1" customFormat="1" ht="33.75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65</v>
      </c>
      <c r="Q30" s="24"/>
      <c r="R30" s="24"/>
      <c r="S30" s="28" t="s">
        <v>40</v>
      </c>
      <c r="T30" s="28"/>
      <c r="U30" s="28"/>
      <c r="V30" s="25">
        <f>178955.83</f>
        <v>178955.83</v>
      </c>
      <c r="W30" s="25"/>
      <c r="X30" s="25"/>
      <c r="Y30" s="25"/>
      <c r="Z30" s="25"/>
      <c r="AA30" s="26" t="s">
        <v>40</v>
      </c>
      <c r="AB30" s="26"/>
      <c r="AC30" s="26"/>
    </row>
    <row r="31" spans="1:29" s="1" customFormat="1" ht="33.75" customHeight="1">
      <c r="A31" s="23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66</v>
      </c>
      <c r="Q31" s="24"/>
      <c r="R31" s="24"/>
      <c r="S31" s="28" t="s">
        <v>40</v>
      </c>
      <c r="T31" s="28"/>
      <c r="U31" s="28"/>
      <c r="V31" s="25">
        <f>5094.63</f>
        <v>5094.63</v>
      </c>
      <c r="W31" s="25"/>
      <c r="X31" s="25"/>
      <c r="Y31" s="25"/>
      <c r="Z31" s="25"/>
      <c r="AA31" s="26" t="s">
        <v>40</v>
      </c>
      <c r="AB31" s="26"/>
      <c r="AC31" s="26"/>
    </row>
    <row r="32" spans="1:29" s="1" customFormat="1" ht="24" customHeight="1">
      <c r="A32" s="23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68</v>
      </c>
      <c r="Q32" s="24"/>
      <c r="R32" s="24"/>
      <c r="S32" s="25">
        <f>120000</f>
        <v>120000</v>
      </c>
      <c r="T32" s="25"/>
      <c r="U32" s="25"/>
      <c r="V32" s="28" t="s">
        <v>40</v>
      </c>
      <c r="W32" s="28"/>
      <c r="X32" s="28"/>
      <c r="Y32" s="28"/>
      <c r="Z32" s="28"/>
      <c r="AA32" s="27">
        <f>120000</f>
        <v>120000</v>
      </c>
      <c r="AB32" s="27"/>
      <c r="AC32" s="27"/>
    </row>
    <row r="33" spans="1:29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70</v>
      </c>
      <c r="Q33" s="24"/>
      <c r="R33" s="24"/>
      <c r="S33" s="28" t="s">
        <v>40</v>
      </c>
      <c r="T33" s="28"/>
      <c r="U33" s="28"/>
      <c r="V33" s="25">
        <f>118615</f>
        <v>118615</v>
      </c>
      <c r="W33" s="25"/>
      <c r="X33" s="25"/>
      <c r="Y33" s="25"/>
      <c r="Z33" s="25"/>
      <c r="AA33" s="26" t="s">
        <v>40</v>
      </c>
      <c r="AB33" s="26"/>
      <c r="AC33" s="26"/>
    </row>
    <row r="34" spans="1:29" s="1" customFormat="1" ht="24" customHeight="1">
      <c r="A34" s="23" t="s">
        <v>69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71</v>
      </c>
      <c r="Q34" s="24"/>
      <c r="R34" s="24"/>
      <c r="S34" s="28" t="s">
        <v>40</v>
      </c>
      <c r="T34" s="28"/>
      <c r="U34" s="28"/>
      <c r="V34" s="25">
        <f>3599.06</f>
        <v>3599.06</v>
      </c>
      <c r="W34" s="25"/>
      <c r="X34" s="25"/>
      <c r="Y34" s="25"/>
      <c r="Z34" s="25"/>
      <c r="AA34" s="26" t="s">
        <v>40</v>
      </c>
      <c r="AB34" s="26"/>
      <c r="AC34" s="26"/>
    </row>
    <row r="35" spans="1:29" s="1" customFormat="1" ht="24" customHeight="1">
      <c r="A35" s="23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73</v>
      </c>
      <c r="Q35" s="24"/>
      <c r="R35" s="24"/>
      <c r="S35" s="25">
        <f>5000</f>
        <v>5000</v>
      </c>
      <c r="T35" s="25"/>
      <c r="U35" s="25"/>
      <c r="V35" s="28" t="s">
        <v>40</v>
      </c>
      <c r="W35" s="28"/>
      <c r="X35" s="28"/>
      <c r="Y35" s="28"/>
      <c r="Z35" s="28"/>
      <c r="AA35" s="27">
        <f>5000</f>
        <v>5000</v>
      </c>
      <c r="AB35" s="27"/>
      <c r="AC35" s="27"/>
    </row>
    <row r="36" spans="1:29" s="1" customFormat="1" ht="24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75</v>
      </c>
      <c r="Q36" s="24"/>
      <c r="R36" s="24"/>
      <c r="S36" s="28" t="s">
        <v>40</v>
      </c>
      <c r="T36" s="28"/>
      <c r="U36" s="28"/>
      <c r="V36" s="25">
        <f>20479</f>
        <v>20479</v>
      </c>
      <c r="W36" s="25"/>
      <c r="X36" s="25"/>
      <c r="Y36" s="25"/>
      <c r="Z36" s="25"/>
      <c r="AA36" s="26" t="s">
        <v>40</v>
      </c>
      <c r="AB36" s="26"/>
      <c r="AC36" s="26"/>
    </row>
    <row r="37" spans="1:29" s="1" customFormat="1" ht="24" customHeight="1">
      <c r="A37" s="23" t="s">
        <v>74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76</v>
      </c>
      <c r="Q37" s="24"/>
      <c r="R37" s="24"/>
      <c r="S37" s="28" t="s">
        <v>40</v>
      </c>
      <c r="T37" s="28"/>
      <c r="U37" s="28"/>
      <c r="V37" s="25">
        <f>127.52</f>
        <v>127.52</v>
      </c>
      <c r="W37" s="25"/>
      <c r="X37" s="25"/>
      <c r="Y37" s="25"/>
      <c r="Z37" s="25"/>
      <c r="AA37" s="26" t="s">
        <v>40</v>
      </c>
      <c r="AB37" s="26"/>
      <c r="AC37" s="26"/>
    </row>
    <row r="38" spans="1:29" s="1" customFormat="1" ht="45" customHeight="1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78</v>
      </c>
      <c r="Q38" s="24"/>
      <c r="R38" s="24"/>
      <c r="S38" s="25">
        <f>15000</f>
        <v>15000</v>
      </c>
      <c r="T38" s="25"/>
      <c r="U38" s="25"/>
      <c r="V38" s="28" t="s">
        <v>40</v>
      </c>
      <c r="W38" s="28"/>
      <c r="X38" s="28"/>
      <c r="Y38" s="28"/>
      <c r="Z38" s="28"/>
      <c r="AA38" s="27">
        <f>15000</f>
        <v>15000</v>
      </c>
      <c r="AB38" s="27"/>
      <c r="AC38" s="27"/>
    </row>
    <row r="39" spans="1:29" s="1" customFormat="1" ht="45" customHeight="1">
      <c r="A39" s="23" t="s">
        <v>77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79</v>
      </c>
      <c r="Q39" s="24"/>
      <c r="R39" s="24"/>
      <c r="S39" s="28" t="s">
        <v>40</v>
      </c>
      <c r="T39" s="28"/>
      <c r="U39" s="28"/>
      <c r="V39" s="25">
        <f>14340</f>
        <v>14340</v>
      </c>
      <c r="W39" s="25"/>
      <c r="X39" s="25"/>
      <c r="Y39" s="25"/>
      <c r="Z39" s="25"/>
      <c r="AA39" s="26" t="s">
        <v>40</v>
      </c>
      <c r="AB39" s="26"/>
      <c r="AC39" s="26"/>
    </row>
    <row r="40" spans="1:29" s="1" customFormat="1" ht="24" customHeight="1">
      <c r="A40" s="23" t="s">
        <v>80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81</v>
      </c>
      <c r="Q40" s="24"/>
      <c r="R40" s="24"/>
      <c r="S40" s="25">
        <f>307000</f>
        <v>307000</v>
      </c>
      <c r="T40" s="25"/>
      <c r="U40" s="25"/>
      <c r="V40" s="25">
        <f>319184.45</f>
        <v>319184.45</v>
      </c>
      <c r="W40" s="25"/>
      <c r="X40" s="25"/>
      <c r="Y40" s="25"/>
      <c r="Z40" s="25"/>
      <c r="AA40" s="26" t="s">
        <v>40</v>
      </c>
      <c r="AB40" s="26"/>
      <c r="AC40" s="26"/>
    </row>
    <row r="41" spans="1:29" s="1" customFormat="1" ht="45" customHeight="1">
      <c r="A41" s="23" t="s">
        <v>82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83</v>
      </c>
      <c r="Q41" s="24"/>
      <c r="R41" s="24"/>
      <c r="S41" s="25">
        <f>120000</f>
        <v>120000</v>
      </c>
      <c r="T41" s="25"/>
      <c r="U41" s="25"/>
      <c r="V41" s="25">
        <f>227658.17</f>
        <v>227658.17</v>
      </c>
      <c r="W41" s="25"/>
      <c r="X41" s="25"/>
      <c r="Y41" s="25"/>
      <c r="Z41" s="25"/>
      <c r="AA41" s="26" t="s">
        <v>40</v>
      </c>
      <c r="AB41" s="26"/>
      <c r="AC41" s="26"/>
    </row>
    <row r="42" spans="1:29" s="1" customFormat="1" ht="13.5" customHeight="1">
      <c r="A42" s="23" t="s">
        <v>84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85</v>
      </c>
      <c r="Q42" s="24"/>
      <c r="R42" s="24"/>
      <c r="S42" s="25">
        <f>28845.05</f>
        <v>28845.05</v>
      </c>
      <c r="T42" s="25"/>
      <c r="U42" s="25"/>
      <c r="V42" s="25">
        <f>28845.05</f>
        <v>28845.05</v>
      </c>
      <c r="W42" s="25"/>
      <c r="X42" s="25"/>
      <c r="Y42" s="25"/>
      <c r="Z42" s="25"/>
      <c r="AA42" s="27">
        <f>0</f>
        <v>0</v>
      </c>
      <c r="AB42" s="27"/>
      <c r="AC42" s="27"/>
    </row>
    <row r="43" spans="1:29" s="1" customFormat="1" ht="13.5" customHeight="1">
      <c r="A43" s="23" t="s">
        <v>86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87</v>
      </c>
      <c r="Q43" s="24"/>
      <c r="R43" s="24"/>
      <c r="S43" s="25">
        <f>3500000</f>
        <v>3500000</v>
      </c>
      <c r="T43" s="25"/>
      <c r="U43" s="25"/>
      <c r="V43" s="25">
        <f>4763090.34</f>
        <v>4763090.34</v>
      </c>
      <c r="W43" s="25"/>
      <c r="X43" s="25"/>
      <c r="Y43" s="25"/>
      <c r="Z43" s="25"/>
      <c r="AA43" s="26" t="s">
        <v>40</v>
      </c>
      <c r="AB43" s="26"/>
      <c r="AC43" s="26"/>
    </row>
    <row r="44" spans="1:29" s="1" customFormat="1" ht="54.75" customHeight="1">
      <c r="A44" s="23" t="s">
        <v>88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89</v>
      </c>
      <c r="Q44" s="24"/>
      <c r="R44" s="24"/>
      <c r="S44" s="25">
        <f>300000</f>
        <v>300000</v>
      </c>
      <c r="T44" s="25"/>
      <c r="U44" s="25"/>
      <c r="V44" s="28" t="s">
        <v>40</v>
      </c>
      <c r="W44" s="28"/>
      <c r="X44" s="28"/>
      <c r="Y44" s="28"/>
      <c r="Z44" s="28"/>
      <c r="AA44" s="27">
        <f>300000</f>
        <v>300000</v>
      </c>
      <c r="AB44" s="27"/>
      <c r="AC44" s="27"/>
    </row>
    <row r="45" spans="1:29" s="1" customFormat="1" ht="13.5" customHeight="1">
      <c r="A45" s="23" t="s">
        <v>90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36</v>
      </c>
      <c r="N45" s="24"/>
      <c r="O45" s="24"/>
      <c r="P45" s="24" t="s">
        <v>91</v>
      </c>
      <c r="Q45" s="24"/>
      <c r="R45" s="24"/>
      <c r="S45" s="28" t="s">
        <v>40</v>
      </c>
      <c r="T45" s="28"/>
      <c r="U45" s="28"/>
      <c r="V45" s="25">
        <f>106000</f>
        <v>106000</v>
      </c>
      <c r="W45" s="25"/>
      <c r="X45" s="25"/>
      <c r="Y45" s="25"/>
      <c r="Z45" s="25"/>
      <c r="AA45" s="26" t="s">
        <v>40</v>
      </c>
      <c r="AB45" s="26"/>
      <c r="AC45" s="26"/>
    </row>
    <row r="46" spans="1:29" s="1" customFormat="1" ht="24" customHeight="1">
      <c r="A46" s="23" t="s">
        <v>92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36</v>
      </c>
      <c r="N46" s="24"/>
      <c r="O46" s="24"/>
      <c r="P46" s="24" t="s">
        <v>93</v>
      </c>
      <c r="Q46" s="24"/>
      <c r="R46" s="24"/>
      <c r="S46" s="25">
        <f>3203800</f>
        <v>3203800</v>
      </c>
      <c r="T46" s="25"/>
      <c r="U46" s="25"/>
      <c r="V46" s="25">
        <f>2789910</f>
        <v>2789910</v>
      </c>
      <c r="W46" s="25"/>
      <c r="X46" s="25"/>
      <c r="Y46" s="25"/>
      <c r="Z46" s="25"/>
      <c r="AA46" s="27">
        <f>413890</f>
        <v>413890</v>
      </c>
      <c r="AB46" s="27"/>
      <c r="AC46" s="27"/>
    </row>
    <row r="47" spans="1:29" s="1" customFormat="1" ht="24" customHeight="1">
      <c r="A47" s="23" t="s">
        <v>94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36</v>
      </c>
      <c r="N47" s="24"/>
      <c r="O47" s="24"/>
      <c r="P47" s="24" t="s">
        <v>95</v>
      </c>
      <c r="Q47" s="24"/>
      <c r="R47" s="24"/>
      <c r="S47" s="25">
        <f>21693400</f>
        <v>21693400</v>
      </c>
      <c r="T47" s="25"/>
      <c r="U47" s="25"/>
      <c r="V47" s="25">
        <f>20401500</f>
        <v>20401500</v>
      </c>
      <c r="W47" s="25"/>
      <c r="X47" s="25"/>
      <c r="Y47" s="25"/>
      <c r="Z47" s="25"/>
      <c r="AA47" s="27">
        <f>1291900</f>
        <v>1291900</v>
      </c>
      <c r="AB47" s="27"/>
      <c r="AC47" s="27"/>
    </row>
    <row r="48" spans="1:29" s="1" customFormat="1" ht="24" customHeight="1">
      <c r="A48" s="23" t="s">
        <v>96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 t="s">
        <v>36</v>
      </c>
      <c r="N48" s="24"/>
      <c r="O48" s="24"/>
      <c r="P48" s="24" t="s">
        <v>97</v>
      </c>
      <c r="Q48" s="24"/>
      <c r="R48" s="24"/>
      <c r="S48" s="25">
        <f>738.47</f>
        <v>738.47</v>
      </c>
      <c r="T48" s="25"/>
      <c r="U48" s="25"/>
      <c r="V48" s="25">
        <f>738.47</f>
        <v>738.47</v>
      </c>
      <c r="W48" s="25"/>
      <c r="X48" s="25"/>
      <c r="Y48" s="25"/>
      <c r="Z48" s="25"/>
      <c r="AA48" s="27">
        <f>0</f>
        <v>0</v>
      </c>
      <c r="AB48" s="27"/>
      <c r="AC48" s="27"/>
    </row>
    <row r="49" spans="1:29" s="1" customFormat="1" ht="24" customHeight="1">
      <c r="A49" s="23" t="s">
        <v>98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 t="s">
        <v>36</v>
      </c>
      <c r="N49" s="24"/>
      <c r="O49" s="24"/>
      <c r="P49" s="24" t="s">
        <v>99</v>
      </c>
      <c r="Q49" s="24"/>
      <c r="R49" s="24"/>
      <c r="S49" s="25">
        <f>134100</f>
        <v>134100</v>
      </c>
      <c r="T49" s="25"/>
      <c r="U49" s="25"/>
      <c r="V49" s="25">
        <f>104449.81</f>
        <v>104449.81</v>
      </c>
      <c r="W49" s="25"/>
      <c r="X49" s="25"/>
      <c r="Y49" s="25"/>
      <c r="Z49" s="25"/>
      <c r="AA49" s="27">
        <f>29650.19</f>
        <v>29650.19</v>
      </c>
      <c r="AB49" s="27"/>
      <c r="AC49" s="27"/>
    </row>
    <row r="50" spans="1:29" s="1" customFormat="1" ht="24" customHeight="1">
      <c r="A50" s="23" t="s">
        <v>100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36</v>
      </c>
      <c r="N50" s="24"/>
      <c r="O50" s="24"/>
      <c r="P50" s="24" t="s">
        <v>101</v>
      </c>
      <c r="Q50" s="24"/>
      <c r="R50" s="24"/>
      <c r="S50" s="25">
        <f>5902707.78</f>
        <v>5902707.78</v>
      </c>
      <c r="T50" s="25"/>
      <c r="U50" s="25"/>
      <c r="V50" s="25">
        <f>2212036.89</f>
        <v>2212036.89</v>
      </c>
      <c r="W50" s="25"/>
      <c r="X50" s="25"/>
      <c r="Y50" s="25"/>
      <c r="Z50" s="25"/>
      <c r="AA50" s="27">
        <f>3690670.89</f>
        <v>3690670.89</v>
      </c>
      <c r="AB50" s="27"/>
      <c r="AC50" s="27"/>
    </row>
    <row r="51" spans="1:29" s="1" customFormat="1" ht="13.5" customHeight="1">
      <c r="A51" s="23" t="s">
        <v>102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 t="s">
        <v>36</v>
      </c>
      <c r="N51" s="24"/>
      <c r="O51" s="24"/>
      <c r="P51" s="24" t="s">
        <v>103</v>
      </c>
      <c r="Q51" s="24"/>
      <c r="R51" s="24"/>
      <c r="S51" s="25">
        <f>10300</f>
        <v>10300</v>
      </c>
      <c r="T51" s="25"/>
      <c r="U51" s="25"/>
      <c r="V51" s="25">
        <f>10300</f>
        <v>10300</v>
      </c>
      <c r="W51" s="25"/>
      <c r="X51" s="25"/>
      <c r="Y51" s="25"/>
      <c r="Z51" s="25"/>
      <c r="AA51" s="27">
        <f>0</f>
        <v>0</v>
      </c>
      <c r="AB51" s="27"/>
      <c r="AC51" s="27"/>
    </row>
    <row r="52" spans="1:29" s="1" customFormat="1" ht="13.5" customHeight="1">
      <c r="A52" s="29" t="s">
        <v>11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s="1" customFormat="1" ht="13.5" customHeight="1">
      <c r="A53" s="12" t="s">
        <v>104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1" customFormat="1" ht="34.5" customHeight="1">
      <c r="A54" s="13" t="s">
        <v>23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 t="s">
        <v>24</v>
      </c>
      <c r="M54" s="13"/>
      <c r="N54" s="13"/>
      <c r="O54" s="13" t="s">
        <v>105</v>
      </c>
      <c r="P54" s="13"/>
      <c r="Q54" s="13"/>
      <c r="R54" s="14" t="s">
        <v>106</v>
      </c>
      <c r="S54" s="14"/>
      <c r="T54" s="14" t="s">
        <v>26</v>
      </c>
      <c r="U54" s="14"/>
      <c r="V54" s="14"/>
      <c r="W54" s="14" t="s">
        <v>27</v>
      </c>
      <c r="X54" s="14"/>
      <c r="Y54" s="14"/>
      <c r="Z54" s="14"/>
      <c r="AA54" s="14"/>
      <c r="AB54" s="15" t="s">
        <v>28</v>
      </c>
      <c r="AC54" s="15"/>
    </row>
    <row r="55" spans="1:29" s="1" customFormat="1" ht="13.5" customHeight="1">
      <c r="A55" s="16" t="s">
        <v>29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 t="s">
        <v>30</v>
      </c>
      <c r="M55" s="16"/>
      <c r="N55" s="16"/>
      <c r="O55" s="16" t="s">
        <v>31</v>
      </c>
      <c r="P55" s="16"/>
      <c r="Q55" s="16"/>
      <c r="R55" s="17" t="s">
        <v>32</v>
      </c>
      <c r="S55" s="17"/>
      <c r="T55" s="17" t="s">
        <v>33</v>
      </c>
      <c r="U55" s="17"/>
      <c r="V55" s="17"/>
      <c r="W55" s="17" t="s">
        <v>34</v>
      </c>
      <c r="X55" s="17"/>
      <c r="Y55" s="17"/>
      <c r="Z55" s="17"/>
      <c r="AA55" s="17"/>
      <c r="AB55" s="18" t="s">
        <v>107</v>
      </c>
      <c r="AC55" s="18"/>
    </row>
    <row r="56" spans="1:29" s="1" customFormat="1" ht="13.5" customHeight="1">
      <c r="A56" s="19" t="s">
        <v>108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 t="s">
        <v>109</v>
      </c>
      <c r="M56" s="20"/>
      <c r="N56" s="20"/>
      <c r="O56" s="20" t="s">
        <v>37</v>
      </c>
      <c r="P56" s="20"/>
      <c r="Q56" s="20"/>
      <c r="R56" s="33" t="s">
        <v>37</v>
      </c>
      <c r="S56" s="33"/>
      <c r="T56" s="21">
        <f>51205227.74</f>
        <v>51205227.74</v>
      </c>
      <c r="U56" s="21"/>
      <c r="V56" s="21"/>
      <c r="W56" s="21">
        <f>43724704.15</f>
        <v>43724704.15</v>
      </c>
      <c r="X56" s="21"/>
      <c r="Y56" s="21"/>
      <c r="Z56" s="21"/>
      <c r="AA56" s="21"/>
      <c r="AB56" s="22">
        <f>7480523.59</f>
        <v>7480523.59</v>
      </c>
      <c r="AC56" s="22"/>
    </row>
    <row r="57" spans="1:29" s="1" customFormat="1" ht="13.5" customHeight="1">
      <c r="A57" s="35" t="s">
        <v>110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0" t="s">
        <v>109</v>
      </c>
      <c r="M57" s="30"/>
      <c r="N57" s="30"/>
      <c r="O57" s="30" t="s">
        <v>111</v>
      </c>
      <c r="P57" s="30"/>
      <c r="Q57" s="30"/>
      <c r="R57" s="31" t="s">
        <v>112</v>
      </c>
      <c r="S57" s="31"/>
      <c r="T57" s="32">
        <f>1320000</f>
        <v>1320000</v>
      </c>
      <c r="U57" s="32"/>
      <c r="V57" s="32"/>
      <c r="W57" s="32">
        <f>1116370.58</f>
        <v>1116370.58</v>
      </c>
      <c r="X57" s="32"/>
      <c r="Y57" s="32"/>
      <c r="Z57" s="32"/>
      <c r="AA57" s="32"/>
      <c r="AB57" s="34">
        <f>203629.42</f>
        <v>203629.42</v>
      </c>
      <c r="AC57" s="34"/>
    </row>
    <row r="58" spans="1:29" s="1" customFormat="1" ht="13.5" customHeight="1">
      <c r="A58" s="35" t="s">
        <v>113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0" t="s">
        <v>109</v>
      </c>
      <c r="M58" s="30"/>
      <c r="N58" s="30"/>
      <c r="O58" s="30" t="s">
        <v>114</v>
      </c>
      <c r="P58" s="30"/>
      <c r="Q58" s="30"/>
      <c r="R58" s="31" t="s">
        <v>115</v>
      </c>
      <c r="S58" s="31"/>
      <c r="T58" s="32">
        <f>320000</f>
        <v>320000</v>
      </c>
      <c r="U58" s="32"/>
      <c r="V58" s="32"/>
      <c r="W58" s="32">
        <f>287527.41</f>
        <v>287527.41</v>
      </c>
      <c r="X58" s="32"/>
      <c r="Y58" s="32"/>
      <c r="Z58" s="32"/>
      <c r="AA58" s="32"/>
      <c r="AB58" s="34">
        <f>32472.59</f>
        <v>32472.59</v>
      </c>
      <c r="AC58" s="34"/>
    </row>
    <row r="59" spans="1:29" s="1" customFormat="1" ht="13.5" customHeight="1">
      <c r="A59" s="35" t="s">
        <v>110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0" t="s">
        <v>109</v>
      </c>
      <c r="M59" s="30"/>
      <c r="N59" s="30"/>
      <c r="O59" s="30" t="s">
        <v>116</v>
      </c>
      <c r="P59" s="30"/>
      <c r="Q59" s="30"/>
      <c r="R59" s="31" t="s">
        <v>112</v>
      </c>
      <c r="S59" s="31"/>
      <c r="T59" s="32">
        <f>3935180</f>
        <v>3935180</v>
      </c>
      <c r="U59" s="32"/>
      <c r="V59" s="32"/>
      <c r="W59" s="32">
        <f>3659291.24</f>
        <v>3659291.24</v>
      </c>
      <c r="X59" s="32"/>
      <c r="Y59" s="32"/>
      <c r="Z59" s="32"/>
      <c r="AA59" s="32"/>
      <c r="AB59" s="34">
        <f>275888.76</f>
        <v>275888.76</v>
      </c>
      <c r="AC59" s="34"/>
    </row>
    <row r="60" spans="1:29" s="1" customFormat="1" ht="13.5" customHeight="1">
      <c r="A60" s="35" t="s">
        <v>117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0" t="s">
        <v>109</v>
      </c>
      <c r="M60" s="30"/>
      <c r="N60" s="30"/>
      <c r="O60" s="30" t="s">
        <v>118</v>
      </c>
      <c r="P60" s="30"/>
      <c r="Q60" s="30"/>
      <c r="R60" s="31" t="s">
        <v>119</v>
      </c>
      <c r="S60" s="31"/>
      <c r="T60" s="32">
        <f>394999</f>
        <v>394999</v>
      </c>
      <c r="U60" s="32"/>
      <c r="V60" s="32"/>
      <c r="W60" s="32">
        <f>337010.6</f>
        <v>337010.6</v>
      </c>
      <c r="X60" s="32"/>
      <c r="Y60" s="32"/>
      <c r="Z60" s="32"/>
      <c r="AA60" s="32"/>
      <c r="AB60" s="34">
        <f>57988.4</f>
        <v>57988.4</v>
      </c>
      <c r="AC60" s="34"/>
    </row>
    <row r="61" spans="1:29" s="1" customFormat="1" ht="13.5" customHeight="1">
      <c r="A61" s="35" t="s">
        <v>113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0" t="s">
        <v>109</v>
      </c>
      <c r="M61" s="30"/>
      <c r="N61" s="30"/>
      <c r="O61" s="30" t="s">
        <v>120</v>
      </c>
      <c r="P61" s="30"/>
      <c r="Q61" s="30"/>
      <c r="R61" s="31" t="s">
        <v>115</v>
      </c>
      <c r="S61" s="31"/>
      <c r="T61" s="32">
        <f>1216201</f>
        <v>1216201</v>
      </c>
      <c r="U61" s="32"/>
      <c r="V61" s="32"/>
      <c r="W61" s="32">
        <f>1079493.6</f>
        <v>1079493.6</v>
      </c>
      <c r="X61" s="32"/>
      <c r="Y61" s="32"/>
      <c r="Z61" s="32"/>
      <c r="AA61" s="32"/>
      <c r="AB61" s="34">
        <f>136707.4</f>
        <v>136707.4</v>
      </c>
      <c r="AC61" s="34"/>
    </row>
    <row r="62" spans="1:29" s="1" customFormat="1" ht="13.5" customHeight="1">
      <c r="A62" s="35" t="s">
        <v>110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0" t="s">
        <v>109</v>
      </c>
      <c r="M62" s="30"/>
      <c r="N62" s="30"/>
      <c r="O62" s="30" t="s">
        <v>121</v>
      </c>
      <c r="P62" s="30"/>
      <c r="Q62" s="30"/>
      <c r="R62" s="31" t="s">
        <v>112</v>
      </c>
      <c r="S62" s="31"/>
      <c r="T62" s="32">
        <f>83010</f>
        <v>83010</v>
      </c>
      <c r="U62" s="32"/>
      <c r="V62" s="32"/>
      <c r="W62" s="32">
        <f>83010</f>
        <v>83010</v>
      </c>
      <c r="X62" s="32"/>
      <c r="Y62" s="32"/>
      <c r="Z62" s="32"/>
      <c r="AA62" s="32"/>
      <c r="AB62" s="34">
        <f>0</f>
        <v>0</v>
      </c>
      <c r="AC62" s="34"/>
    </row>
    <row r="63" spans="1:29" s="1" customFormat="1" ht="13.5" customHeight="1">
      <c r="A63" s="35" t="s">
        <v>113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0" t="s">
        <v>109</v>
      </c>
      <c r="M63" s="30"/>
      <c r="N63" s="30"/>
      <c r="O63" s="30" t="s">
        <v>122</v>
      </c>
      <c r="P63" s="30"/>
      <c r="Q63" s="30"/>
      <c r="R63" s="31" t="s">
        <v>115</v>
      </c>
      <c r="S63" s="31"/>
      <c r="T63" s="32">
        <f>26000</f>
        <v>26000</v>
      </c>
      <c r="U63" s="32"/>
      <c r="V63" s="32"/>
      <c r="W63" s="36" t="s">
        <v>40</v>
      </c>
      <c r="X63" s="36"/>
      <c r="Y63" s="36"/>
      <c r="Z63" s="36"/>
      <c r="AA63" s="36"/>
      <c r="AB63" s="34">
        <f>26000</f>
        <v>26000</v>
      </c>
      <c r="AC63" s="34"/>
    </row>
    <row r="64" spans="1:29" s="1" customFormat="1" ht="13.5" customHeight="1">
      <c r="A64" s="35" t="s">
        <v>123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0" t="s">
        <v>109</v>
      </c>
      <c r="M64" s="30"/>
      <c r="N64" s="30"/>
      <c r="O64" s="30" t="s">
        <v>124</v>
      </c>
      <c r="P64" s="30"/>
      <c r="Q64" s="30"/>
      <c r="R64" s="31" t="s">
        <v>125</v>
      </c>
      <c r="S64" s="31"/>
      <c r="T64" s="32">
        <f>869600</f>
        <v>869600</v>
      </c>
      <c r="U64" s="32"/>
      <c r="V64" s="32"/>
      <c r="W64" s="32">
        <f>869600</f>
        <v>869600</v>
      </c>
      <c r="X64" s="32"/>
      <c r="Y64" s="32"/>
      <c r="Z64" s="32"/>
      <c r="AA64" s="32"/>
      <c r="AB64" s="34">
        <f>0</f>
        <v>0</v>
      </c>
      <c r="AC64" s="34"/>
    </row>
    <row r="65" spans="1:29" s="1" customFormat="1" ht="13.5" customHeight="1">
      <c r="A65" s="35" t="s">
        <v>123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0" t="s">
        <v>109</v>
      </c>
      <c r="M65" s="30"/>
      <c r="N65" s="30"/>
      <c r="O65" s="30" t="s">
        <v>126</v>
      </c>
      <c r="P65" s="30"/>
      <c r="Q65" s="30"/>
      <c r="R65" s="31" t="s">
        <v>125</v>
      </c>
      <c r="S65" s="31"/>
      <c r="T65" s="32">
        <f>50000</f>
        <v>50000</v>
      </c>
      <c r="U65" s="32"/>
      <c r="V65" s="32"/>
      <c r="W65" s="36" t="s">
        <v>40</v>
      </c>
      <c r="X65" s="36"/>
      <c r="Y65" s="36"/>
      <c r="Z65" s="36"/>
      <c r="AA65" s="36"/>
      <c r="AB65" s="34">
        <f>50000</f>
        <v>50000</v>
      </c>
      <c r="AC65" s="34"/>
    </row>
    <row r="66" spans="1:29" s="1" customFormat="1" ht="13.5" customHeight="1">
      <c r="A66" s="35" t="s">
        <v>110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0" t="s">
        <v>109</v>
      </c>
      <c r="M66" s="30"/>
      <c r="N66" s="30"/>
      <c r="O66" s="30" t="s">
        <v>127</v>
      </c>
      <c r="P66" s="30"/>
      <c r="Q66" s="30"/>
      <c r="R66" s="31" t="s">
        <v>112</v>
      </c>
      <c r="S66" s="31"/>
      <c r="T66" s="32">
        <f>5018644.05</f>
        <v>5018644.05</v>
      </c>
      <c r="U66" s="32"/>
      <c r="V66" s="32"/>
      <c r="W66" s="32">
        <f>4582263.58</f>
        <v>4582263.58</v>
      </c>
      <c r="X66" s="32"/>
      <c r="Y66" s="32"/>
      <c r="Z66" s="32"/>
      <c r="AA66" s="32"/>
      <c r="AB66" s="34">
        <f>436380.47</f>
        <v>436380.47</v>
      </c>
      <c r="AC66" s="34"/>
    </row>
    <row r="67" spans="1:29" s="1" customFormat="1" ht="13.5" customHeight="1">
      <c r="A67" s="35" t="s">
        <v>117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0" t="s">
        <v>109</v>
      </c>
      <c r="M67" s="30"/>
      <c r="N67" s="30"/>
      <c r="O67" s="30" t="s">
        <v>128</v>
      </c>
      <c r="P67" s="30"/>
      <c r="Q67" s="30"/>
      <c r="R67" s="31" t="s">
        <v>119</v>
      </c>
      <c r="S67" s="31"/>
      <c r="T67" s="32">
        <f>442000</f>
        <v>442000</v>
      </c>
      <c r="U67" s="32"/>
      <c r="V67" s="32"/>
      <c r="W67" s="32">
        <f>378346.1</f>
        <v>378346.1</v>
      </c>
      <c r="X67" s="32"/>
      <c r="Y67" s="32"/>
      <c r="Z67" s="32"/>
      <c r="AA67" s="32"/>
      <c r="AB67" s="34">
        <f>63653.9</f>
        <v>63653.9</v>
      </c>
      <c r="AC67" s="34"/>
    </row>
    <row r="68" spans="1:29" s="1" customFormat="1" ht="13.5" customHeight="1">
      <c r="A68" s="35" t="s">
        <v>113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0" t="s">
        <v>109</v>
      </c>
      <c r="M68" s="30"/>
      <c r="N68" s="30"/>
      <c r="O68" s="30" t="s">
        <v>129</v>
      </c>
      <c r="P68" s="30"/>
      <c r="Q68" s="30"/>
      <c r="R68" s="31" t="s">
        <v>115</v>
      </c>
      <c r="S68" s="31"/>
      <c r="T68" s="32">
        <f>1750000</f>
        <v>1750000</v>
      </c>
      <c r="U68" s="32"/>
      <c r="V68" s="32"/>
      <c r="W68" s="32">
        <f>1384067.69</f>
        <v>1384067.69</v>
      </c>
      <c r="X68" s="32"/>
      <c r="Y68" s="32"/>
      <c r="Z68" s="32"/>
      <c r="AA68" s="32"/>
      <c r="AB68" s="34">
        <f>365932.31</f>
        <v>365932.31</v>
      </c>
      <c r="AC68" s="34"/>
    </row>
    <row r="69" spans="1:29" s="1" customFormat="1" ht="13.5" customHeight="1">
      <c r="A69" s="35" t="s">
        <v>130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0" t="s">
        <v>109</v>
      </c>
      <c r="M69" s="30"/>
      <c r="N69" s="30"/>
      <c r="O69" s="30" t="s">
        <v>131</v>
      </c>
      <c r="P69" s="30"/>
      <c r="Q69" s="30"/>
      <c r="R69" s="31" t="s">
        <v>132</v>
      </c>
      <c r="S69" s="31"/>
      <c r="T69" s="32">
        <f>20000</f>
        <v>20000</v>
      </c>
      <c r="U69" s="32"/>
      <c r="V69" s="32"/>
      <c r="W69" s="32">
        <f>10000</f>
        <v>10000</v>
      </c>
      <c r="X69" s="32"/>
      <c r="Y69" s="32"/>
      <c r="Z69" s="32"/>
      <c r="AA69" s="32"/>
      <c r="AB69" s="34">
        <f>10000</f>
        <v>10000</v>
      </c>
      <c r="AC69" s="34"/>
    </row>
    <row r="70" spans="1:29" s="1" customFormat="1" ht="13.5" customHeight="1">
      <c r="A70" s="35" t="s">
        <v>133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0" t="s">
        <v>109</v>
      </c>
      <c r="M70" s="30"/>
      <c r="N70" s="30"/>
      <c r="O70" s="30" t="s">
        <v>131</v>
      </c>
      <c r="P70" s="30"/>
      <c r="Q70" s="30"/>
      <c r="R70" s="31" t="s">
        <v>134</v>
      </c>
      <c r="S70" s="31"/>
      <c r="T70" s="32">
        <f>21000</f>
        <v>21000</v>
      </c>
      <c r="U70" s="32"/>
      <c r="V70" s="32"/>
      <c r="W70" s="36" t="s">
        <v>40</v>
      </c>
      <c r="X70" s="36"/>
      <c r="Y70" s="36"/>
      <c r="Z70" s="36"/>
      <c r="AA70" s="36"/>
      <c r="AB70" s="34">
        <f>21000</f>
        <v>21000</v>
      </c>
      <c r="AC70" s="34"/>
    </row>
    <row r="71" spans="1:29" s="1" customFormat="1" ht="13.5" customHeight="1">
      <c r="A71" s="35" t="s">
        <v>135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0" t="s">
        <v>109</v>
      </c>
      <c r="M71" s="30"/>
      <c r="N71" s="30"/>
      <c r="O71" s="30" t="s">
        <v>131</v>
      </c>
      <c r="P71" s="30"/>
      <c r="Q71" s="30"/>
      <c r="R71" s="31" t="s">
        <v>136</v>
      </c>
      <c r="S71" s="31"/>
      <c r="T71" s="32">
        <f>510000</f>
        <v>510000</v>
      </c>
      <c r="U71" s="32"/>
      <c r="V71" s="32"/>
      <c r="W71" s="32">
        <f>209159.78</f>
        <v>209159.78</v>
      </c>
      <c r="X71" s="32"/>
      <c r="Y71" s="32"/>
      <c r="Z71" s="32"/>
      <c r="AA71" s="32"/>
      <c r="AB71" s="34">
        <f>300840.22</f>
        <v>300840.22</v>
      </c>
      <c r="AC71" s="34"/>
    </row>
    <row r="72" spans="1:29" s="1" customFormat="1" ht="13.5" customHeight="1">
      <c r="A72" s="35" t="s">
        <v>137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0" t="s">
        <v>109</v>
      </c>
      <c r="M72" s="30"/>
      <c r="N72" s="30"/>
      <c r="O72" s="30" t="s">
        <v>131</v>
      </c>
      <c r="P72" s="30"/>
      <c r="Q72" s="30"/>
      <c r="R72" s="31" t="s">
        <v>138</v>
      </c>
      <c r="S72" s="31"/>
      <c r="T72" s="32">
        <f>665000</f>
        <v>665000</v>
      </c>
      <c r="U72" s="32"/>
      <c r="V72" s="32"/>
      <c r="W72" s="32">
        <f>238169.65</f>
        <v>238169.65</v>
      </c>
      <c r="X72" s="32"/>
      <c r="Y72" s="32"/>
      <c r="Z72" s="32"/>
      <c r="AA72" s="32"/>
      <c r="AB72" s="34">
        <f>426830.35</f>
        <v>426830.35</v>
      </c>
      <c r="AC72" s="34"/>
    </row>
    <row r="73" spans="1:29" s="1" customFormat="1" ht="13.5" customHeight="1">
      <c r="A73" s="35" t="s">
        <v>139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0" t="s">
        <v>109</v>
      </c>
      <c r="M73" s="30"/>
      <c r="N73" s="30"/>
      <c r="O73" s="30" t="s">
        <v>131</v>
      </c>
      <c r="P73" s="30"/>
      <c r="Q73" s="30"/>
      <c r="R73" s="31" t="s">
        <v>140</v>
      </c>
      <c r="S73" s="31"/>
      <c r="T73" s="32">
        <f>354000</f>
        <v>354000</v>
      </c>
      <c r="U73" s="32"/>
      <c r="V73" s="32"/>
      <c r="W73" s="32">
        <f>270590.22</f>
        <v>270590.22</v>
      </c>
      <c r="X73" s="32"/>
      <c r="Y73" s="32"/>
      <c r="Z73" s="32"/>
      <c r="AA73" s="32"/>
      <c r="AB73" s="34">
        <f>83409.78</f>
        <v>83409.78</v>
      </c>
      <c r="AC73" s="34"/>
    </row>
    <row r="74" spans="1:29" s="1" customFormat="1" ht="13.5" customHeight="1">
      <c r="A74" s="35" t="s">
        <v>123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0" t="s">
        <v>109</v>
      </c>
      <c r="M74" s="30"/>
      <c r="N74" s="30"/>
      <c r="O74" s="30" t="s">
        <v>131</v>
      </c>
      <c r="P74" s="30"/>
      <c r="Q74" s="30"/>
      <c r="R74" s="31" t="s">
        <v>125</v>
      </c>
      <c r="S74" s="31"/>
      <c r="T74" s="32">
        <f>40000</f>
        <v>40000</v>
      </c>
      <c r="U74" s="32"/>
      <c r="V74" s="32"/>
      <c r="W74" s="32">
        <f>40000</f>
        <v>40000</v>
      </c>
      <c r="X74" s="32"/>
      <c r="Y74" s="32"/>
      <c r="Z74" s="32"/>
      <c r="AA74" s="32"/>
      <c r="AB74" s="34">
        <f>0</f>
        <v>0</v>
      </c>
      <c r="AC74" s="34"/>
    </row>
    <row r="75" spans="1:29" s="1" customFormat="1" ht="13.5" customHeight="1">
      <c r="A75" s="35" t="s">
        <v>141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0" t="s">
        <v>109</v>
      </c>
      <c r="M75" s="30"/>
      <c r="N75" s="30"/>
      <c r="O75" s="30" t="s">
        <v>131</v>
      </c>
      <c r="P75" s="30"/>
      <c r="Q75" s="30"/>
      <c r="R75" s="31" t="s">
        <v>142</v>
      </c>
      <c r="S75" s="31"/>
      <c r="T75" s="32">
        <f>173000</f>
        <v>173000</v>
      </c>
      <c r="U75" s="32"/>
      <c r="V75" s="32"/>
      <c r="W75" s="32">
        <f>172889</f>
        <v>172889</v>
      </c>
      <c r="X75" s="32"/>
      <c r="Y75" s="32"/>
      <c r="Z75" s="32"/>
      <c r="AA75" s="32"/>
      <c r="AB75" s="34">
        <f>111</f>
        <v>111</v>
      </c>
      <c r="AC75" s="34"/>
    </row>
    <row r="76" spans="1:29" s="1" customFormat="1" ht="13.5" customHeight="1">
      <c r="A76" s="35" t="s">
        <v>143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0" t="s">
        <v>109</v>
      </c>
      <c r="M76" s="30"/>
      <c r="N76" s="30"/>
      <c r="O76" s="30" t="s">
        <v>131</v>
      </c>
      <c r="P76" s="30"/>
      <c r="Q76" s="30"/>
      <c r="R76" s="31" t="s">
        <v>144</v>
      </c>
      <c r="S76" s="31"/>
      <c r="T76" s="32">
        <f>1483790</f>
        <v>1483790</v>
      </c>
      <c r="U76" s="32"/>
      <c r="V76" s="32"/>
      <c r="W76" s="32">
        <f>1437205</f>
        <v>1437205</v>
      </c>
      <c r="X76" s="32"/>
      <c r="Y76" s="32"/>
      <c r="Z76" s="32"/>
      <c r="AA76" s="32"/>
      <c r="AB76" s="34">
        <f>46585</f>
        <v>46585</v>
      </c>
      <c r="AC76" s="34"/>
    </row>
    <row r="77" spans="1:29" s="1" customFormat="1" ht="13.5" customHeight="1">
      <c r="A77" s="35" t="s">
        <v>145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0" t="s">
        <v>109</v>
      </c>
      <c r="M77" s="30"/>
      <c r="N77" s="30"/>
      <c r="O77" s="30" t="s">
        <v>146</v>
      </c>
      <c r="P77" s="30"/>
      <c r="Q77" s="30"/>
      <c r="R77" s="31" t="s">
        <v>147</v>
      </c>
      <c r="S77" s="31"/>
      <c r="T77" s="32">
        <f>20000</f>
        <v>20000</v>
      </c>
      <c r="U77" s="32"/>
      <c r="V77" s="32"/>
      <c r="W77" s="36" t="s">
        <v>40</v>
      </c>
      <c r="X77" s="36"/>
      <c r="Y77" s="36"/>
      <c r="Z77" s="36"/>
      <c r="AA77" s="36"/>
      <c r="AB77" s="34">
        <f>20000</f>
        <v>20000</v>
      </c>
      <c r="AC77" s="34"/>
    </row>
    <row r="78" spans="1:29" s="1" customFormat="1" ht="13.5" customHeight="1">
      <c r="A78" s="35" t="s">
        <v>145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0" t="s">
        <v>109</v>
      </c>
      <c r="M78" s="30"/>
      <c r="N78" s="30"/>
      <c r="O78" s="30" t="s">
        <v>148</v>
      </c>
      <c r="P78" s="30"/>
      <c r="Q78" s="30"/>
      <c r="R78" s="31" t="s">
        <v>147</v>
      </c>
      <c r="S78" s="31"/>
      <c r="T78" s="32">
        <f>14852</f>
        <v>14852</v>
      </c>
      <c r="U78" s="32"/>
      <c r="V78" s="32"/>
      <c r="W78" s="32">
        <f>10113</f>
        <v>10113</v>
      </c>
      <c r="X78" s="32"/>
      <c r="Y78" s="32"/>
      <c r="Z78" s="32"/>
      <c r="AA78" s="32"/>
      <c r="AB78" s="34">
        <f>4739</f>
        <v>4739</v>
      </c>
      <c r="AC78" s="34"/>
    </row>
    <row r="79" spans="1:29" s="1" customFormat="1" ht="24" customHeight="1">
      <c r="A79" s="35" t="s">
        <v>149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0" t="s">
        <v>109</v>
      </c>
      <c r="M79" s="30"/>
      <c r="N79" s="30"/>
      <c r="O79" s="30" t="s">
        <v>150</v>
      </c>
      <c r="P79" s="30"/>
      <c r="Q79" s="30"/>
      <c r="R79" s="31" t="s">
        <v>151</v>
      </c>
      <c r="S79" s="31"/>
      <c r="T79" s="32">
        <f>5000</f>
        <v>5000</v>
      </c>
      <c r="U79" s="32"/>
      <c r="V79" s="32"/>
      <c r="W79" s="32">
        <f>3423.61</f>
        <v>3423.61</v>
      </c>
      <c r="X79" s="32"/>
      <c r="Y79" s="32"/>
      <c r="Z79" s="32"/>
      <c r="AA79" s="32"/>
      <c r="AB79" s="34">
        <f>1576.39</f>
        <v>1576.39</v>
      </c>
      <c r="AC79" s="34"/>
    </row>
    <row r="80" spans="1:29" s="1" customFormat="1" ht="13.5" customHeight="1">
      <c r="A80" s="35" t="s">
        <v>123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0" t="s">
        <v>109</v>
      </c>
      <c r="M80" s="30"/>
      <c r="N80" s="30"/>
      <c r="O80" s="30" t="s">
        <v>152</v>
      </c>
      <c r="P80" s="30"/>
      <c r="Q80" s="30"/>
      <c r="R80" s="31" t="s">
        <v>125</v>
      </c>
      <c r="S80" s="31"/>
      <c r="T80" s="32">
        <f>30000</f>
        <v>30000</v>
      </c>
      <c r="U80" s="32"/>
      <c r="V80" s="32"/>
      <c r="W80" s="32">
        <f>20000</f>
        <v>20000</v>
      </c>
      <c r="X80" s="32"/>
      <c r="Y80" s="32"/>
      <c r="Z80" s="32"/>
      <c r="AA80" s="32"/>
      <c r="AB80" s="34">
        <f>10000</f>
        <v>10000</v>
      </c>
      <c r="AC80" s="34"/>
    </row>
    <row r="81" spans="1:29" s="1" customFormat="1" ht="13.5" customHeight="1">
      <c r="A81" s="35" t="s">
        <v>123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0" t="s">
        <v>109</v>
      </c>
      <c r="M81" s="30"/>
      <c r="N81" s="30"/>
      <c r="O81" s="30" t="s">
        <v>153</v>
      </c>
      <c r="P81" s="30"/>
      <c r="Q81" s="30"/>
      <c r="R81" s="31" t="s">
        <v>125</v>
      </c>
      <c r="S81" s="31"/>
      <c r="T81" s="32">
        <f>15000</f>
        <v>15000</v>
      </c>
      <c r="U81" s="32"/>
      <c r="V81" s="32"/>
      <c r="W81" s="32">
        <f>15000</f>
        <v>15000</v>
      </c>
      <c r="X81" s="32"/>
      <c r="Y81" s="32"/>
      <c r="Z81" s="32"/>
      <c r="AA81" s="32"/>
      <c r="AB81" s="34">
        <f>0</f>
        <v>0</v>
      </c>
      <c r="AC81" s="34"/>
    </row>
    <row r="82" spans="1:29" s="1" customFormat="1" ht="13.5" customHeight="1">
      <c r="A82" s="35" t="s">
        <v>139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0" t="s">
        <v>109</v>
      </c>
      <c r="M82" s="30"/>
      <c r="N82" s="30"/>
      <c r="O82" s="30" t="s">
        <v>154</v>
      </c>
      <c r="P82" s="30"/>
      <c r="Q82" s="30"/>
      <c r="R82" s="31" t="s">
        <v>140</v>
      </c>
      <c r="S82" s="31"/>
      <c r="T82" s="32">
        <f>140967.38</f>
        <v>140967.38</v>
      </c>
      <c r="U82" s="32"/>
      <c r="V82" s="32"/>
      <c r="W82" s="32">
        <f>140967.38</f>
        <v>140967.38</v>
      </c>
      <c r="X82" s="32"/>
      <c r="Y82" s="32"/>
      <c r="Z82" s="32"/>
      <c r="AA82" s="32"/>
      <c r="AB82" s="34">
        <f>0</f>
        <v>0</v>
      </c>
      <c r="AC82" s="34"/>
    </row>
    <row r="83" spans="1:29" s="1" customFormat="1" ht="13.5" customHeight="1">
      <c r="A83" s="35" t="s">
        <v>145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0" t="s">
        <v>109</v>
      </c>
      <c r="M83" s="30"/>
      <c r="N83" s="30"/>
      <c r="O83" s="30" t="s">
        <v>155</v>
      </c>
      <c r="P83" s="30"/>
      <c r="Q83" s="30"/>
      <c r="R83" s="31" t="s">
        <v>147</v>
      </c>
      <c r="S83" s="31"/>
      <c r="T83" s="32">
        <f>303000</f>
        <v>303000</v>
      </c>
      <c r="U83" s="32"/>
      <c r="V83" s="32"/>
      <c r="W83" s="32">
        <f>291291</f>
        <v>291291</v>
      </c>
      <c r="X83" s="32"/>
      <c r="Y83" s="32"/>
      <c r="Z83" s="32"/>
      <c r="AA83" s="32"/>
      <c r="AB83" s="34">
        <f>11709</f>
        <v>11709</v>
      </c>
      <c r="AC83" s="34"/>
    </row>
    <row r="84" spans="1:29" s="1" customFormat="1" ht="13.5" customHeight="1">
      <c r="A84" s="35" t="s">
        <v>145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0" t="s">
        <v>109</v>
      </c>
      <c r="M84" s="30"/>
      <c r="N84" s="30"/>
      <c r="O84" s="30" t="s">
        <v>156</v>
      </c>
      <c r="P84" s="30"/>
      <c r="Q84" s="30"/>
      <c r="R84" s="31" t="s">
        <v>147</v>
      </c>
      <c r="S84" s="31"/>
      <c r="T84" s="32">
        <f>36032.62</f>
        <v>36032.62</v>
      </c>
      <c r="U84" s="32"/>
      <c r="V84" s="32"/>
      <c r="W84" s="32">
        <f>18427</f>
        <v>18427</v>
      </c>
      <c r="X84" s="32"/>
      <c r="Y84" s="32"/>
      <c r="Z84" s="32"/>
      <c r="AA84" s="32"/>
      <c r="AB84" s="34">
        <f>17605.62</f>
        <v>17605.62</v>
      </c>
      <c r="AC84" s="34"/>
    </row>
    <row r="85" spans="1:29" s="1" customFormat="1" ht="24" customHeight="1">
      <c r="A85" s="35" t="s">
        <v>149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0" t="s">
        <v>109</v>
      </c>
      <c r="M85" s="30"/>
      <c r="N85" s="30"/>
      <c r="O85" s="30" t="s">
        <v>157</v>
      </c>
      <c r="P85" s="30"/>
      <c r="Q85" s="30"/>
      <c r="R85" s="31" t="s">
        <v>151</v>
      </c>
      <c r="S85" s="31"/>
      <c r="T85" s="32">
        <f>5000</f>
        <v>5000</v>
      </c>
      <c r="U85" s="32"/>
      <c r="V85" s="32"/>
      <c r="W85" s="32">
        <f>555.76</f>
        <v>555.76</v>
      </c>
      <c r="X85" s="32"/>
      <c r="Y85" s="32"/>
      <c r="Z85" s="32"/>
      <c r="AA85" s="32"/>
      <c r="AB85" s="34">
        <f>4444.24</f>
        <v>4444.24</v>
      </c>
      <c r="AC85" s="34"/>
    </row>
    <row r="86" spans="1:29" s="1" customFormat="1" ht="13.5" customHeight="1">
      <c r="A86" s="35" t="s">
        <v>110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0" t="s">
        <v>109</v>
      </c>
      <c r="M86" s="30"/>
      <c r="N86" s="30"/>
      <c r="O86" s="30" t="s">
        <v>158</v>
      </c>
      <c r="P86" s="30"/>
      <c r="Q86" s="30"/>
      <c r="R86" s="31" t="s">
        <v>112</v>
      </c>
      <c r="S86" s="31"/>
      <c r="T86" s="32">
        <f>479805</f>
        <v>479805</v>
      </c>
      <c r="U86" s="32"/>
      <c r="V86" s="32"/>
      <c r="W86" s="32">
        <f>314000</f>
        <v>314000</v>
      </c>
      <c r="X86" s="32"/>
      <c r="Y86" s="32"/>
      <c r="Z86" s="32"/>
      <c r="AA86" s="32"/>
      <c r="AB86" s="34">
        <f>165805</f>
        <v>165805</v>
      </c>
      <c r="AC86" s="34"/>
    </row>
    <row r="87" spans="1:29" s="1" customFormat="1" ht="13.5" customHeight="1">
      <c r="A87" s="35" t="s">
        <v>113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0" t="s">
        <v>109</v>
      </c>
      <c r="M87" s="30"/>
      <c r="N87" s="30"/>
      <c r="O87" s="30" t="s">
        <v>159</v>
      </c>
      <c r="P87" s="30"/>
      <c r="Q87" s="30"/>
      <c r="R87" s="31" t="s">
        <v>115</v>
      </c>
      <c r="S87" s="31"/>
      <c r="T87" s="32">
        <f>145872</f>
        <v>145872</v>
      </c>
      <c r="U87" s="32"/>
      <c r="V87" s="32"/>
      <c r="W87" s="32">
        <f>107000</f>
        <v>107000</v>
      </c>
      <c r="X87" s="32"/>
      <c r="Y87" s="32"/>
      <c r="Z87" s="32"/>
      <c r="AA87" s="32"/>
      <c r="AB87" s="34">
        <f>38872</f>
        <v>38872</v>
      </c>
      <c r="AC87" s="34"/>
    </row>
    <row r="88" spans="1:29" s="1" customFormat="1" ht="13.5" customHeight="1">
      <c r="A88" s="35" t="s">
        <v>110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0" t="s">
        <v>109</v>
      </c>
      <c r="M88" s="30"/>
      <c r="N88" s="30"/>
      <c r="O88" s="30" t="s">
        <v>160</v>
      </c>
      <c r="P88" s="30"/>
      <c r="Q88" s="30"/>
      <c r="R88" s="31" t="s">
        <v>112</v>
      </c>
      <c r="S88" s="31"/>
      <c r="T88" s="32">
        <f>103000</f>
        <v>103000</v>
      </c>
      <c r="U88" s="32"/>
      <c r="V88" s="32"/>
      <c r="W88" s="32">
        <f>81347.2</f>
        <v>81347.2</v>
      </c>
      <c r="X88" s="32"/>
      <c r="Y88" s="32"/>
      <c r="Z88" s="32"/>
      <c r="AA88" s="32"/>
      <c r="AB88" s="34">
        <f>21652.8</f>
        <v>21652.8</v>
      </c>
      <c r="AC88" s="34"/>
    </row>
    <row r="89" spans="1:29" s="1" customFormat="1" ht="13.5" customHeight="1">
      <c r="A89" s="35" t="s">
        <v>113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0" t="s">
        <v>109</v>
      </c>
      <c r="M89" s="30"/>
      <c r="N89" s="30"/>
      <c r="O89" s="30" t="s">
        <v>161</v>
      </c>
      <c r="P89" s="30"/>
      <c r="Q89" s="30"/>
      <c r="R89" s="31" t="s">
        <v>115</v>
      </c>
      <c r="S89" s="31"/>
      <c r="T89" s="32">
        <f>31100</f>
        <v>31100</v>
      </c>
      <c r="U89" s="32"/>
      <c r="V89" s="32"/>
      <c r="W89" s="32">
        <f>23102.61</f>
        <v>23102.61</v>
      </c>
      <c r="X89" s="32"/>
      <c r="Y89" s="32"/>
      <c r="Z89" s="32"/>
      <c r="AA89" s="32"/>
      <c r="AB89" s="34">
        <f>7997.39</f>
        <v>7997.39</v>
      </c>
      <c r="AC89" s="34"/>
    </row>
    <row r="90" spans="1:29" s="1" customFormat="1" ht="13.5" customHeight="1">
      <c r="A90" s="35" t="s">
        <v>110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0" t="s">
        <v>109</v>
      </c>
      <c r="M90" s="30"/>
      <c r="N90" s="30"/>
      <c r="O90" s="30" t="s">
        <v>162</v>
      </c>
      <c r="P90" s="30"/>
      <c r="Q90" s="30"/>
      <c r="R90" s="31" t="s">
        <v>112</v>
      </c>
      <c r="S90" s="31"/>
      <c r="T90" s="32">
        <f>15185</f>
        <v>15185</v>
      </c>
      <c r="U90" s="32"/>
      <c r="V90" s="32"/>
      <c r="W90" s="36" t="s">
        <v>40</v>
      </c>
      <c r="X90" s="36"/>
      <c r="Y90" s="36"/>
      <c r="Z90" s="36"/>
      <c r="AA90" s="36"/>
      <c r="AB90" s="34">
        <f>15185</f>
        <v>15185</v>
      </c>
      <c r="AC90" s="34"/>
    </row>
    <row r="91" spans="1:29" s="1" customFormat="1" ht="13.5" customHeight="1">
      <c r="A91" s="35" t="s">
        <v>113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0" t="s">
        <v>109</v>
      </c>
      <c r="M91" s="30"/>
      <c r="N91" s="30"/>
      <c r="O91" s="30" t="s">
        <v>163</v>
      </c>
      <c r="P91" s="30"/>
      <c r="Q91" s="30"/>
      <c r="R91" s="31" t="s">
        <v>115</v>
      </c>
      <c r="S91" s="31"/>
      <c r="T91" s="32">
        <f>3128</f>
        <v>3128</v>
      </c>
      <c r="U91" s="32"/>
      <c r="V91" s="32"/>
      <c r="W91" s="36" t="s">
        <v>40</v>
      </c>
      <c r="X91" s="36"/>
      <c r="Y91" s="36"/>
      <c r="Z91" s="36"/>
      <c r="AA91" s="36"/>
      <c r="AB91" s="34">
        <f>3128</f>
        <v>3128</v>
      </c>
      <c r="AC91" s="34"/>
    </row>
    <row r="92" spans="1:29" s="1" customFormat="1" ht="13.5" customHeight="1">
      <c r="A92" s="35" t="s">
        <v>137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0" t="s">
        <v>109</v>
      </c>
      <c r="M92" s="30"/>
      <c r="N92" s="30"/>
      <c r="O92" s="30" t="s">
        <v>164</v>
      </c>
      <c r="P92" s="30"/>
      <c r="Q92" s="30"/>
      <c r="R92" s="31" t="s">
        <v>138</v>
      </c>
      <c r="S92" s="31"/>
      <c r="T92" s="32">
        <f>10000</f>
        <v>10000</v>
      </c>
      <c r="U92" s="32"/>
      <c r="V92" s="32"/>
      <c r="W92" s="36" t="s">
        <v>40</v>
      </c>
      <c r="X92" s="36"/>
      <c r="Y92" s="36"/>
      <c r="Z92" s="36"/>
      <c r="AA92" s="36"/>
      <c r="AB92" s="34">
        <f>10000</f>
        <v>10000</v>
      </c>
      <c r="AC92" s="34"/>
    </row>
    <row r="93" spans="1:29" s="1" customFormat="1" ht="13.5" customHeight="1">
      <c r="A93" s="35" t="s">
        <v>143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0" t="s">
        <v>109</v>
      </c>
      <c r="M93" s="30"/>
      <c r="N93" s="30"/>
      <c r="O93" s="30" t="s">
        <v>165</v>
      </c>
      <c r="P93" s="30"/>
      <c r="Q93" s="30"/>
      <c r="R93" s="31" t="s">
        <v>144</v>
      </c>
      <c r="S93" s="31"/>
      <c r="T93" s="32">
        <f>5000</f>
        <v>5000</v>
      </c>
      <c r="U93" s="32"/>
      <c r="V93" s="32"/>
      <c r="W93" s="32">
        <f>2360</f>
        <v>2360</v>
      </c>
      <c r="X93" s="32"/>
      <c r="Y93" s="32"/>
      <c r="Z93" s="32"/>
      <c r="AA93" s="32"/>
      <c r="AB93" s="34">
        <f>2640</f>
        <v>2640</v>
      </c>
      <c r="AC93" s="34"/>
    </row>
    <row r="94" spans="1:29" s="1" customFormat="1" ht="13.5" customHeight="1">
      <c r="A94" s="35" t="s">
        <v>123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0" t="s">
        <v>109</v>
      </c>
      <c r="M94" s="30"/>
      <c r="N94" s="30"/>
      <c r="O94" s="30" t="s">
        <v>166</v>
      </c>
      <c r="P94" s="30"/>
      <c r="Q94" s="30"/>
      <c r="R94" s="31" t="s">
        <v>125</v>
      </c>
      <c r="S94" s="31"/>
      <c r="T94" s="32">
        <f>14290</f>
        <v>14290</v>
      </c>
      <c r="U94" s="32"/>
      <c r="V94" s="32"/>
      <c r="W94" s="36" t="s">
        <v>40</v>
      </c>
      <c r="X94" s="36"/>
      <c r="Y94" s="36"/>
      <c r="Z94" s="36"/>
      <c r="AA94" s="36"/>
      <c r="AB94" s="34">
        <f>14290</f>
        <v>14290</v>
      </c>
      <c r="AC94" s="34"/>
    </row>
    <row r="95" spans="1:29" s="1" customFormat="1" ht="13.5" customHeight="1">
      <c r="A95" s="35" t="s">
        <v>123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0" t="s">
        <v>109</v>
      </c>
      <c r="M95" s="30"/>
      <c r="N95" s="30"/>
      <c r="O95" s="30" t="s">
        <v>167</v>
      </c>
      <c r="P95" s="30"/>
      <c r="Q95" s="30"/>
      <c r="R95" s="31" t="s">
        <v>125</v>
      </c>
      <c r="S95" s="31"/>
      <c r="T95" s="32">
        <f>6125</f>
        <v>6125</v>
      </c>
      <c r="U95" s="32"/>
      <c r="V95" s="32"/>
      <c r="W95" s="32">
        <f>6125</f>
        <v>6125</v>
      </c>
      <c r="X95" s="32"/>
      <c r="Y95" s="32"/>
      <c r="Z95" s="32"/>
      <c r="AA95" s="32"/>
      <c r="AB95" s="34">
        <f>0</f>
        <v>0</v>
      </c>
      <c r="AC95" s="34"/>
    </row>
    <row r="96" spans="1:29" s="1" customFormat="1" ht="13.5" customHeight="1">
      <c r="A96" s="35" t="s">
        <v>139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0" t="s">
        <v>109</v>
      </c>
      <c r="M96" s="30"/>
      <c r="N96" s="30"/>
      <c r="O96" s="30" t="s">
        <v>168</v>
      </c>
      <c r="P96" s="30"/>
      <c r="Q96" s="30"/>
      <c r="R96" s="31" t="s">
        <v>140</v>
      </c>
      <c r="S96" s="31"/>
      <c r="T96" s="32">
        <f>5000</f>
        <v>5000</v>
      </c>
      <c r="U96" s="32"/>
      <c r="V96" s="32"/>
      <c r="W96" s="32">
        <f>3375</f>
        <v>3375</v>
      </c>
      <c r="X96" s="32"/>
      <c r="Y96" s="32"/>
      <c r="Z96" s="32"/>
      <c r="AA96" s="32"/>
      <c r="AB96" s="34">
        <f>1625</f>
        <v>1625</v>
      </c>
      <c r="AC96" s="34"/>
    </row>
    <row r="97" spans="1:29" s="1" customFormat="1" ht="13.5" customHeight="1">
      <c r="A97" s="35" t="s">
        <v>139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0" t="s">
        <v>109</v>
      </c>
      <c r="M97" s="30"/>
      <c r="N97" s="30"/>
      <c r="O97" s="30" t="s">
        <v>169</v>
      </c>
      <c r="P97" s="30"/>
      <c r="Q97" s="30"/>
      <c r="R97" s="31" t="s">
        <v>140</v>
      </c>
      <c r="S97" s="31"/>
      <c r="T97" s="32">
        <f>290200</f>
        <v>290200</v>
      </c>
      <c r="U97" s="32"/>
      <c r="V97" s="32"/>
      <c r="W97" s="36" t="s">
        <v>40</v>
      </c>
      <c r="X97" s="36"/>
      <c r="Y97" s="36"/>
      <c r="Z97" s="36"/>
      <c r="AA97" s="36"/>
      <c r="AB97" s="34">
        <f>290200</f>
        <v>290200</v>
      </c>
      <c r="AC97" s="34"/>
    </row>
    <row r="98" spans="1:29" s="1" customFormat="1" ht="13.5" customHeight="1">
      <c r="A98" s="35" t="s">
        <v>139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0" t="s">
        <v>109</v>
      </c>
      <c r="M98" s="30"/>
      <c r="N98" s="30"/>
      <c r="O98" s="30" t="s">
        <v>170</v>
      </c>
      <c r="P98" s="30"/>
      <c r="Q98" s="30"/>
      <c r="R98" s="31" t="s">
        <v>140</v>
      </c>
      <c r="S98" s="31"/>
      <c r="T98" s="32">
        <f>196250</f>
        <v>196250</v>
      </c>
      <c r="U98" s="32"/>
      <c r="V98" s="32"/>
      <c r="W98" s="36" t="s">
        <v>40</v>
      </c>
      <c r="X98" s="36"/>
      <c r="Y98" s="36"/>
      <c r="Z98" s="36"/>
      <c r="AA98" s="36"/>
      <c r="AB98" s="34">
        <f>196250</f>
        <v>196250</v>
      </c>
      <c r="AC98" s="34"/>
    </row>
    <row r="99" spans="1:29" s="1" customFormat="1" ht="13.5" customHeight="1">
      <c r="A99" s="35" t="s">
        <v>139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0" t="s">
        <v>109</v>
      </c>
      <c r="M99" s="30"/>
      <c r="N99" s="30"/>
      <c r="O99" s="30" t="s">
        <v>171</v>
      </c>
      <c r="P99" s="30"/>
      <c r="Q99" s="30"/>
      <c r="R99" s="31" t="s">
        <v>140</v>
      </c>
      <c r="S99" s="31"/>
      <c r="T99" s="32">
        <f>72550</f>
        <v>72550</v>
      </c>
      <c r="U99" s="32"/>
      <c r="V99" s="32"/>
      <c r="W99" s="36" t="s">
        <v>40</v>
      </c>
      <c r="X99" s="36"/>
      <c r="Y99" s="36"/>
      <c r="Z99" s="36"/>
      <c r="AA99" s="36"/>
      <c r="AB99" s="34">
        <f>72550</f>
        <v>72550</v>
      </c>
      <c r="AC99" s="34"/>
    </row>
    <row r="100" spans="1:29" s="1" customFormat="1" ht="13.5" customHeight="1">
      <c r="A100" s="35" t="s">
        <v>137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0" t="s">
        <v>109</v>
      </c>
      <c r="M100" s="30"/>
      <c r="N100" s="30"/>
      <c r="O100" s="30" t="s">
        <v>172</v>
      </c>
      <c r="P100" s="30"/>
      <c r="Q100" s="30"/>
      <c r="R100" s="31" t="s">
        <v>138</v>
      </c>
      <c r="S100" s="31"/>
      <c r="T100" s="32">
        <f>713917.78</f>
        <v>713917.78</v>
      </c>
      <c r="U100" s="32"/>
      <c r="V100" s="32"/>
      <c r="W100" s="32">
        <f>713436.89</f>
        <v>713436.89</v>
      </c>
      <c r="X100" s="32"/>
      <c r="Y100" s="32"/>
      <c r="Z100" s="32"/>
      <c r="AA100" s="32"/>
      <c r="AB100" s="34">
        <f>480.89</f>
        <v>480.89</v>
      </c>
      <c r="AC100" s="34"/>
    </row>
    <row r="101" spans="1:29" s="1" customFormat="1" ht="13.5" customHeight="1">
      <c r="A101" s="35" t="s">
        <v>137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0" t="s">
        <v>109</v>
      </c>
      <c r="M101" s="30"/>
      <c r="N101" s="30"/>
      <c r="O101" s="30" t="s">
        <v>173</v>
      </c>
      <c r="P101" s="30"/>
      <c r="Q101" s="30"/>
      <c r="R101" s="31" t="s">
        <v>138</v>
      </c>
      <c r="S101" s="31"/>
      <c r="T101" s="32">
        <f>37734.74</f>
        <v>37734.74</v>
      </c>
      <c r="U101" s="32"/>
      <c r="V101" s="32"/>
      <c r="W101" s="32">
        <f>37549.31</f>
        <v>37549.31</v>
      </c>
      <c r="X101" s="32"/>
      <c r="Y101" s="32"/>
      <c r="Z101" s="32"/>
      <c r="AA101" s="32"/>
      <c r="AB101" s="34">
        <f>185.43</f>
        <v>185.43</v>
      </c>
      <c r="AC101" s="34"/>
    </row>
    <row r="102" spans="1:29" s="1" customFormat="1" ht="13.5" customHeight="1">
      <c r="A102" s="35" t="s">
        <v>137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0" t="s">
        <v>109</v>
      </c>
      <c r="M102" s="30"/>
      <c r="N102" s="30"/>
      <c r="O102" s="30" t="s">
        <v>174</v>
      </c>
      <c r="P102" s="30"/>
      <c r="Q102" s="30"/>
      <c r="R102" s="31" t="s">
        <v>138</v>
      </c>
      <c r="S102" s="31"/>
      <c r="T102" s="32">
        <f>1300065.26</f>
        <v>1300065.26</v>
      </c>
      <c r="U102" s="32"/>
      <c r="V102" s="32"/>
      <c r="W102" s="32">
        <f>750000</f>
        <v>750000</v>
      </c>
      <c r="X102" s="32"/>
      <c r="Y102" s="32"/>
      <c r="Z102" s="32"/>
      <c r="AA102" s="32"/>
      <c r="AB102" s="34">
        <f>550065.26</f>
        <v>550065.26</v>
      </c>
      <c r="AC102" s="34"/>
    </row>
    <row r="103" spans="1:29" s="1" customFormat="1" ht="13.5" customHeight="1">
      <c r="A103" s="35" t="s">
        <v>143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0" t="s">
        <v>109</v>
      </c>
      <c r="M103" s="30"/>
      <c r="N103" s="30"/>
      <c r="O103" s="30" t="s">
        <v>174</v>
      </c>
      <c r="P103" s="30"/>
      <c r="Q103" s="30"/>
      <c r="R103" s="31" t="s">
        <v>144</v>
      </c>
      <c r="S103" s="31"/>
      <c r="T103" s="32">
        <f>20878.66</f>
        <v>20878.66</v>
      </c>
      <c r="U103" s="32"/>
      <c r="V103" s="32"/>
      <c r="W103" s="32">
        <f>20384.5</f>
        <v>20384.5</v>
      </c>
      <c r="X103" s="32"/>
      <c r="Y103" s="32"/>
      <c r="Z103" s="32"/>
      <c r="AA103" s="32"/>
      <c r="AB103" s="34">
        <f>494.16</f>
        <v>494.16</v>
      </c>
      <c r="AC103" s="34"/>
    </row>
    <row r="104" spans="1:29" s="1" customFormat="1" ht="13.5" customHeight="1">
      <c r="A104" s="35" t="s">
        <v>139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0" t="s">
        <v>109</v>
      </c>
      <c r="M104" s="30"/>
      <c r="N104" s="30"/>
      <c r="O104" s="30" t="s">
        <v>175</v>
      </c>
      <c r="P104" s="30"/>
      <c r="Q104" s="30"/>
      <c r="R104" s="31" t="s">
        <v>140</v>
      </c>
      <c r="S104" s="31"/>
      <c r="T104" s="32">
        <f>28490</f>
        <v>28490</v>
      </c>
      <c r="U104" s="32"/>
      <c r="V104" s="32"/>
      <c r="W104" s="32">
        <f>4800</f>
        <v>4800</v>
      </c>
      <c r="X104" s="32"/>
      <c r="Y104" s="32"/>
      <c r="Z104" s="32"/>
      <c r="AA104" s="32"/>
      <c r="AB104" s="34">
        <f>23690</f>
        <v>23690</v>
      </c>
      <c r="AC104" s="34"/>
    </row>
    <row r="105" spans="1:29" s="1" customFormat="1" ht="13.5" customHeight="1">
      <c r="A105" s="35" t="s">
        <v>130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0" t="s">
        <v>109</v>
      </c>
      <c r="M105" s="30"/>
      <c r="N105" s="30"/>
      <c r="O105" s="30" t="s">
        <v>176</v>
      </c>
      <c r="P105" s="30"/>
      <c r="Q105" s="30"/>
      <c r="R105" s="31" t="s">
        <v>132</v>
      </c>
      <c r="S105" s="31"/>
      <c r="T105" s="32">
        <f>300000</f>
        <v>300000</v>
      </c>
      <c r="U105" s="32"/>
      <c r="V105" s="32"/>
      <c r="W105" s="32">
        <f>225342.38</f>
        <v>225342.38</v>
      </c>
      <c r="X105" s="32"/>
      <c r="Y105" s="32"/>
      <c r="Z105" s="32"/>
      <c r="AA105" s="32"/>
      <c r="AB105" s="34">
        <f>74657.62</f>
        <v>74657.62</v>
      </c>
      <c r="AC105" s="34"/>
    </row>
    <row r="106" spans="1:29" s="1" customFormat="1" ht="13.5" customHeight="1">
      <c r="A106" s="35" t="s">
        <v>137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0" t="s">
        <v>109</v>
      </c>
      <c r="M106" s="30"/>
      <c r="N106" s="30"/>
      <c r="O106" s="30" t="s">
        <v>176</v>
      </c>
      <c r="P106" s="30"/>
      <c r="Q106" s="30"/>
      <c r="R106" s="31" t="s">
        <v>138</v>
      </c>
      <c r="S106" s="31"/>
      <c r="T106" s="32">
        <f>120000</f>
        <v>120000</v>
      </c>
      <c r="U106" s="32"/>
      <c r="V106" s="32"/>
      <c r="W106" s="32">
        <f>47800</f>
        <v>47800</v>
      </c>
      <c r="X106" s="32"/>
      <c r="Y106" s="32"/>
      <c r="Z106" s="32"/>
      <c r="AA106" s="32"/>
      <c r="AB106" s="34">
        <f>72200</f>
        <v>72200</v>
      </c>
      <c r="AC106" s="34"/>
    </row>
    <row r="107" spans="1:29" s="1" customFormat="1" ht="13.5" customHeight="1">
      <c r="A107" s="35" t="s">
        <v>139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0" t="s">
        <v>109</v>
      </c>
      <c r="M107" s="30"/>
      <c r="N107" s="30"/>
      <c r="O107" s="30" t="s">
        <v>176</v>
      </c>
      <c r="P107" s="30"/>
      <c r="Q107" s="30"/>
      <c r="R107" s="31" t="s">
        <v>140</v>
      </c>
      <c r="S107" s="31"/>
      <c r="T107" s="32">
        <f>636800</f>
        <v>636800</v>
      </c>
      <c r="U107" s="32"/>
      <c r="V107" s="32"/>
      <c r="W107" s="32">
        <f>607868.76</f>
        <v>607868.76</v>
      </c>
      <c r="X107" s="32"/>
      <c r="Y107" s="32"/>
      <c r="Z107" s="32"/>
      <c r="AA107" s="32"/>
      <c r="AB107" s="34">
        <f>28931.24</f>
        <v>28931.24</v>
      </c>
      <c r="AC107" s="34"/>
    </row>
    <row r="108" spans="1:29" s="1" customFormat="1" ht="13.5" customHeight="1">
      <c r="A108" s="35" t="s">
        <v>141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0" t="s">
        <v>109</v>
      </c>
      <c r="M108" s="30"/>
      <c r="N108" s="30"/>
      <c r="O108" s="30" t="s">
        <v>176</v>
      </c>
      <c r="P108" s="30"/>
      <c r="Q108" s="30"/>
      <c r="R108" s="31" t="s">
        <v>142</v>
      </c>
      <c r="S108" s="31"/>
      <c r="T108" s="32">
        <f>190104</f>
        <v>190104</v>
      </c>
      <c r="U108" s="32"/>
      <c r="V108" s="32"/>
      <c r="W108" s="32">
        <f>190104</f>
        <v>190104</v>
      </c>
      <c r="X108" s="32"/>
      <c r="Y108" s="32"/>
      <c r="Z108" s="32"/>
      <c r="AA108" s="32"/>
      <c r="AB108" s="34">
        <f>0</f>
        <v>0</v>
      </c>
      <c r="AC108" s="34"/>
    </row>
    <row r="109" spans="1:29" s="1" customFormat="1" ht="13.5" customHeight="1">
      <c r="A109" s="35" t="s">
        <v>143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0" t="s">
        <v>109</v>
      </c>
      <c r="M109" s="30"/>
      <c r="N109" s="30"/>
      <c r="O109" s="30" t="s">
        <v>176</v>
      </c>
      <c r="P109" s="30"/>
      <c r="Q109" s="30"/>
      <c r="R109" s="31" t="s">
        <v>144</v>
      </c>
      <c r="S109" s="31"/>
      <c r="T109" s="32">
        <f>189896</f>
        <v>189896</v>
      </c>
      <c r="U109" s="32"/>
      <c r="V109" s="32"/>
      <c r="W109" s="32">
        <f>184388</f>
        <v>184388</v>
      </c>
      <c r="X109" s="32"/>
      <c r="Y109" s="32"/>
      <c r="Z109" s="32"/>
      <c r="AA109" s="32"/>
      <c r="AB109" s="34">
        <f>5508</f>
        <v>5508</v>
      </c>
      <c r="AC109" s="34"/>
    </row>
    <row r="110" spans="1:29" s="1" customFormat="1" ht="13.5" customHeight="1">
      <c r="A110" s="35" t="s">
        <v>137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0" t="s">
        <v>109</v>
      </c>
      <c r="M110" s="30"/>
      <c r="N110" s="30"/>
      <c r="O110" s="30" t="s">
        <v>177</v>
      </c>
      <c r="P110" s="30"/>
      <c r="Q110" s="30"/>
      <c r="R110" s="31" t="s">
        <v>138</v>
      </c>
      <c r="S110" s="31"/>
      <c r="T110" s="32">
        <f>250000</f>
        <v>250000</v>
      </c>
      <c r="U110" s="32"/>
      <c r="V110" s="32"/>
      <c r="W110" s="32">
        <f>134601.33</f>
        <v>134601.33</v>
      </c>
      <c r="X110" s="32"/>
      <c r="Y110" s="32"/>
      <c r="Z110" s="32"/>
      <c r="AA110" s="32"/>
      <c r="AB110" s="34">
        <f>115398.67</f>
        <v>115398.67</v>
      </c>
      <c r="AC110" s="34"/>
    </row>
    <row r="111" spans="1:29" s="1" customFormat="1" ht="13.5" customHeight="1">
      <c r="A111" s="35" t="s">
        <v>139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0" t="s">
        <v>109</v>
      </c>
      <c r="M111" s="30"/>
      <c r="N111" s="30"/>
      <c r="O111" s="30" t="s">
        <v>177</v>
      </c>
      <c r="P111" s="30"/>
      <c r="Q111" s="30"/>
      <c r="R111" s="31" t="s">
        <v>140</v>
      </c>
      <c r="S111" s="31"/>
      <c r="T111" s="32">
        <f>100000</f>
        <v>100000</v>
      </c>
      <c r="U111" s="32"/>
      <c r="V111" s="32"/>
      <c r="W111" s="32">
        <f>45000</f>
        <v>45000</v>
      </c>
      <c r="X111" s="32"/>
      <c r="Y111" s="32"/>
      <c r="Z111" s="32"/>
      <c r="AA111" s="32"/>
      <c r="AB111" s="34">
        <f>55000</f>
        <v>55000</v>
      </c>
      <c r="AC111" s="34"/>
    </row>
    <row r="112" spans="1:29" s="1" customFormat="1" ht="13.5" customHeight="1">
      <c r="A112" s="35" t="s">
        <v>137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0" t="s">
        <v>109</v>
      </c>
      <c r="M112" s="30"/>
      <c r="N112" s="30"/>
      <c r="O112" s="30" t="s">
        <v>178</v>
      </c>
      <c r="P112" s="30"/>
      <c r="Q112" s="30"/>
      <c r="R112" s="31" t="s">
        <v>138</v>
      </c>
      <c r="S112" s="31"/>
      <c r="T112" s="32">
        <f>1200000</f>
        <v>1200000</v>
      </c>
      <c r="U112" s="32"/>
      <c r="V112" s="32"/>
      <c r="W112" s="36" t="s">
        <v>40</v>
      </c>
      <c r="X112" s="36"/>
      <c r="Y112" s="36"/>
      <c r="Z112" s="36"/>
      <c r="AA112" s="36"/>
      <c r="AB112" s="34">
        <f>1200000</f>
        <v>1200000</v>
      </c>
      <c r="AC112" s="34"/>
    </row>
    <row r="113" spans="1:29" s="1" customFormat="1" ht="13.5" customHeight="1">
      <c r="A113" s="35" t="s">
        <v>139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0" t="s">
        <v>109</v>
      </c>
      <c r="M113" s="30"/>
      <c r="N113" s="30"/>
      <c r="O113" s="30" t="s">
        <v>179</v>
      </c>
      <c r="P113" s="30"/>
      <c r="Q113" s="30"/>
      <c r="R113" s="31" t="s">
        <v>140</v>
      </c>
      <c r="S113" s="31"/>
      <c r="T113" s="32">
        <f>940900</f>
        <v>940900</v>
      </c>
      <c r="U113" s="32"/>
      <c r="V113" s="32"/>
      <c r="W113" s="32">
        <f>940900</f>
        <v>940900</v>
      </c>
      <c r="X113" s="32"/>
      <c r="Y113" s="32"/>
      <c r="Z113" s="32"/>
      <c r="AA113" s="32"/>
      <c r="AB113" s="34">
        <f>0</f>
        <v>0</v>
      </c>
      <c r="AC113" s="34"/>
    </row>
    <row r="114" spans="1:29" s="1" customFormat="1" ht="13.5" customHeight="1">
      <c r="A114" s="35" t="s">
        <v>139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0" t="s">
        <v>109</v>
      </c>
      <c r="M114" s="30"/>
      <c r="N114" s="30"/>
      <c r="O114" s="30" t="s">
        <v>180</v>
      </c>
      <c r="P114" s="30"/>
      <c r="Q114" s="30"/>
      <c r="R114" s="31" t="s">
        <v>140</v>
      </c>
      <c r="S114" s="31"/>
      <c r="T114" s="32">
        <f>1344575</f>
        <v>1344575</v>
      </c>
      <c r="U114" s="32"/>
      <c r="V114" s="32"/>
      <c r="W114" s="32">
        <f>1344575</f>
        <v>1344575</v>
      </c>
      <c r="X114" s="32"/>
      <c r="Y114" s="32"/>
      <c r="Z114" s="32"/>
      <c r="AA114" s="32"/>
      <c r="AB114" s="34">
        <f>0</f>
        <v>0</v>
      </c>
      <c r="AC114" s="34"/>
    </row>
    <row r="115" spans="1:29" s="1" customFormat="1" ht="13.5" customHeight="1">
      <c r="A115" s="35" t="s">
        <v>139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0" t="s">
        <v>109</v>
      </c>
      <c r="M115" s="30"/>
      <c r="N115" s="30"/>
      <c r="O115" s="30" t="s">
        <v>181</v>
      </c>
      <c r="P115" s="30"/>
      <c r="Q115" s="30"/>
      <c r="R115" s="31" t="s">
        <v>140</v>
      </c>
      <c r="S115" s="31"/>
      <c r="T115" s="32">
        <f>1298252.51</f>
        <v>1298252.51</v>
      </c>
      <c r="U115" s="32"/>
      <c r="V115" s="32"/>
      <c r="W115" s="32">
        <f>1146347.49</f>
        <v>1146347.49</v>
      </c>
      <c r="X115" s="32"/>
      <c r="Y115" s="32"/>
      <c r="Z115" s="32"/>
      <c r="AA115" s="32"/>
      <c r="AB115" s="34">
        <f>151905.02</f>
        <v>151905.02</v>
      </c>
      <c r="AC115" s="34"/>
    </row>
    <row r="116" spans="1:29" s="1" customFormat="1" ht="13.5" customHeight="1">
      <c r="A116" s="35" t="s">
        <v>141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0" t="s">
        <v>109</v>
      </c>
      <c r="M116" s="30"/>
      <c r="N116" s="30"/>
      <c r="O116" s="30" t="s">
        <v>181</v>
      </c>
      <c r="P116" s="30"/>
      <c r="Q116" s="30"/>
      <c r="R116" s="31" t="s">
        <v>142</v>
      </c>
      <c r="S116" s="31"/>
      <c r="T116" s="32">
        <f>140000</f>
        <v>140000</v>
      </c>
      <c r="U116" s="32"/>
      <c r="V116" s="32"/>
      <c r="W116" s="32">
        <f>140000</f>
        <v>140000</v>
      </c>
      <c r="X116" s="32"/>
      <c r="Y116" s="32"/>
      <c r="Z116" s="32"/>
      <c r="AA116" s="32"/>
      <c r="AB116" s="34">
        <f>0</f>
        <v>0</v>
      </c>
      <c r="AC116" s="34"/>
    </row>
    <row r="117" spans="1:29" s="1" customFormat="1" ht="13.5" customHeight="1">
      <c r="A117" s="35" t="s">
        <v>135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0" t="s">
        <v>109</v>
      </c>
      <c r="M117" s="30"/>
      <c r="N117" s="30"/>
      <c r="O117" s="30" t="s">
        <v>182</v>
      </c>
      <c r="P117" s="30"/>
      <c r="Q117" s="30"/>
      <c r="R117" s="31" t="s">
        <v>136</v>
      </c>
      <c r="S117" s="31"/>
      <c r="T117" s="32">
        <f>184367.86</f>
        <v>184367.86</v>
      </c>
      <c r="U117" s="32"/>
      <c r="V117" s="32"/>
      <c r="W117" s="32">
        <f>106291.71</f>
        <v>106291.71</v>
      </c>
      <c r="X117" s="32"/>
      <c r="Y117" s="32"/>
      <c r="Z117" s="32"/>
      <c r="AA117" s="32"/>
      <c r="AB117" s="34">
        <f>78076.15</f>
        <v>78076.15</v>
      </c>
      <c r="AC117" s="34"/>
    </row>
    <row r="118" spans="1:29" s="1" customFormat="1" ht="13.5" customHeight="1">
      <c r="A118" s="35" t="s">
        <v>137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0" t="s">
        <v>109</v>
      </c>
      <c r="M118" s="30"/>
      <c r="N118" s="30"/>
      <c r="O118" s="30" t="s">
        <v>182</v>
      </c>
      <c r="P118" s="30"/>
      <c r="Q118" s="30"/>
      <c r="R118" s="31" t="s">
        <v>138</v>
      </c>
      <c r="S118" s="31"/>
      <c r="T118" s="32">
        <f>636000</f>
        <v>636000</v>
      </c>
      <c r="U118" s="32"/>
      <c r="V118" s="32"/>
      <c r="W118" s="32">
        <f>474816.91</f>
        <v>474816.91</v>
      </c>
      <c r="X118" s="32"/>
      <c r="Y118" s="32"/>
      <c r="Z118" s="32"/>
      <c r="AA118" s="32"/>
      <c r="AB118" s="34">
        <f>161183.09</f>
        <v>161183.09</v>
      </c>
      <c r="AC118" s="34"/>
    </row>
    <row r="119" spans="1:29" s="1" customFormat="1" ht="13.5" customHeight="1">
      <c r="A119" s="35" t="s">
        <v>139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0" t="s">
        <v>109</v>
      </c>
      <c r="M119" s="30"/>
      <c r="N119" s="30"/>
      <c r="O119" s="30" t="s">
        <v>182</v>
      </c>
      <c r="P119" s="30"/>
      <c r="Q119" s="30"/>
      <c r="R119" s="31" t="s">
        <v>140</v>
      </c>
      <c r="S119" s="31"/>
      <c r="T119" s="32">
        <f>1352754.73</f>
        <v>1352754.73</v>
      </c>
      <c r="U119" s="32"/>
      <c r="V119" s="32"/>
      <c r="W119" s="32">
        <f>1348474.38</f>
        <v>1348474.38</v>
      </c>
      <c r="X119" s="32"/>
      <c r="Y119" s="32"/>
      <c r="Z119" s="32"/>
      <c r="AA119" s="32"/>
      <c r="AB119" s="34">
        <f>4280.35</f>
        <v>4280.35</v>
      </c>
      <c r="AC119" s="34"/>
    </row>
    <row r="120" spans="1:29" s="1" customFormat="1" ht="13.5" customHeight="1">
      <c r="A120" s="35" t="s">
        <v>141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0" t="s">
        <v>109</v>
      </c>
      <c r="M120" s="30"/>
      <c r="N120" s="30"/>
      <c r="O120" s="30" t="s">
        <v>182</v>
      </c>
      <c r="P120" s="30"/>
      <c r="Q120" s="30"/>
      <c r="R120" s="31" t="s">
        <v>142</v>
      </c>
      <c r="S120" s="31"/>
      <c r="T120" s="32">
        <f>626719.68</f>
        <v>626719.68</v>
      </c>
      <c r="U120" s="32"/>
      <c r="V120" s="32"/>
      <c r="W120" s="32">
        <f>383269.88</f>
        <v>383269.88</v>
      </c>
      <c r="X120" s="32"/>
      <c r="Y120" s="32"/>
      <c r="Z120" s="32"/>
      <c r="AA120" s="32"/>
      <c r="AB120" s="34">
        <f>243449.8</f>
        <v>243449.8</v>
      </c>
      <c r="AC120" s="34"/>
    </row>
    <row r="121" spans="1:29" s="1" customFormat="1" ht="13.5" customHeight="1">
      <c r="A121" s="35" t="s">
        <v>143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0" t="s">
        <v>109</v>
      </c>
      <c r="M121" s="30"/>
      <c r="N121" s="30"/>
      <c r="O121" s="30" t="s">
        <v>182</v>
      </c>
      <c r="P121" s="30"/>
      <c r="Q121" s="30"/>
      <c r="R121" s="31" t="s">
        <v>144</v>
      </c>
      <c r="S121" s="31"/>
      <c r="T121" s="32">
        <f>56536</f>
        <v>56536</v>
      </c>
      <c r="U121" s="32"/>
      <c r="V121" s="32"/>
      <c r="W121" s="32">
        <f>56536</f>
        <v>56536</v>
      </c>
      <c r="X121" s="32"/>
      <c r="Y121" s="32"/>
      <c r="Z121" s="32"/>
      <c r="AA121" s="32"/>
      <c r="AB121" s="34">
        <f>0</f>
        <v>0</v>
      </c>
      <c r="AC121" s="34"/>
    </row>
    <row r="122" spans="1:29" s="1" customFormat="1" ht="13.5" customHeight="1">
      <c r="A122" s="35" t="s">
        <v>143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0" t="s">
        <v>109</v>
      </c>
      <c r="M122" s="30"/>
      <c r="N122" s="30"/>
      <c r="O122" s="30" t="s">
        <v>183</v>
      </c>
      <c r="P122" s="30"/>
      <c r="Q122" s="30"/>
      <c r="R122" s="31" t="s">
        <v>144</v>
      </c>
      <c r="S122" s="31"/>
      <c r="T122" s="32">
        <f>738.47</f>
        <v>738.47</v>
      </c>
      <c r="U122" s="32"/>
      <c r="V122" s="32"/>
      <c r="W122" s="36" t="s">
        <v>40</v>
      </c>
      <c r="X122" s="36"/>
      <c r="Y122" s="36"/>
      <c r="Z122" s="36"/>
      <c r="AA122" s="36"/>
      <c r="AB122" s="34">
        <f>738.47</f>
        <v>738.47</v>
      </c>
      <c r="AC122" s="34"/>
    </row>
    <row r="123" spans="1:29" s="1" customFormat="1" ht="13.5" customHeight="1">
      <c r="A123" s="35" t="s">
        <v>139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0" t="s">
        <v>109</v>
      </c>
      <c r="M123" s="30"/>
      <c r="N123" s="30"/>
      <c r="O123" s="30" t="s">
        <v>184</v>
      </c>
      <c r="P123" s="30"/>
      <c r="Q123" s="30"/>
      <c r="R123" s="31" t="s">
        <v>140</v>
      </c>
      <c r="S123" s="31"/>
      <c r="T123" s="32">
        <f>20000</f>
        <v>20000</v>
      </c>
      <c r="U123" s="32"/>
      <c r="V123" s="32"/>
      <c r="W123" s="32">
        <f>14000</f>
        <v>14000</v>
      </c>
      <c r="X123" s="32"/>
      <c r="Y123" s="32"/>
      <c r="Z123" s="32"/>
      <c r="AA123" s="32"/>
      <c r="AB123" s="34">
        <f>6000</f>
        <v>6000</v>
      </c>
      <c r="AC123" s="34"/>
    </row>
    <row r="124" spans="1:29" s="1" customFormat="1" ht="13.5" customHeight="1">
      <c r="A124" s="35" t="s">
        <v>139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0" t="s">
        <v>109</v>
      </c>
      <c r="M124" s="30"/>
      <c r="N124" s="30"/>
      <c r="O124" s="30" t="s">
        <v>185</v>
      </c>
      <c r="P124" s="30"/>
      <c r="Q124" s="30"/>
      <c r="R124" s="31" t="s">
        <v>140</v>
      </c>
      <c r="S124" s="31"/>
      <c r="T124" s="32">
        <f>20000</f>
        <v>20000</v>
      </c>
      <c r="U124" s="32"/>
      <c r="V124" s="32"/>
      <c r="W124" s="32">
        <f>11900</f>
        <v>11900</v>
      </c>
      <c r="X124" s="32"/>
      <c r="Y124" s="32"/>
      <c r="Z124" s="32"/>
      <c r="AA124" s="32"/>
      <c r="AB124" s="34">
        <f>8100</f>
        <v>8100</v>
      </c>
      <c r="AC124" s="34"/>
    </row>
    <row r="125" spans="1:29" s="1" customFormat="1" ht="13.5" customHeight="1">
      <c r="A125" s="35" t="s">
        <v>139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0" t="s">
        <v>109</v>
      </c>
      <c r="M125" s="30"/>
      <c r="N125" s="30"/>
      <c r="O125" s="30" t="s">
        <v>186</v>
      </c>
      <c r="P125" s="30"/>
      <c r="Q125" s="30"/>
      <c r="R125" s="31" t="s">
        <v>140</v>
      </c>
      <c r="S125" s="31"/>
      <c r="T125" s="32">
        <f>35000.6</f>
        <v>35000.6</v>
      </c>
      <c r="U125" s="32"/>
      <c r="V125" s="32"/>
      <c r="W125" s="32">
        <f>35000.6</f>
        <v>35000.6</v>
      </c>
      <c r="X125" s="32"/>
      <c r="Y125" s="32"/>
      <c r="Z125" s="32"/>
      <c r="AA125" s="32"/>
      <c r="AB125" s="34">
        <f>0</f>
        <v>0</v>
      </c>
      <c r="AC125" s="34"/>
    </row>
    <row r="126" spans="1:29" s="1" customFormat="1" ht="13.5" customHeight="1">
      <c r="A126" s="35" t="s">
        <v>123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0" t="s">
        <v>109</v>
      </c>
      <c r="M126" s="30"/>
      <c r="N126" s="30"/>
      <c r="O126" s="30" t="s">
        <v>186</v>
      </c>
      <c r="P126" s="30"/>
      <c r="Q126" s="30"/>
      <c r="R126" s="31" t="s">
        <v>125</v>
      </c>
      <c r="S126" s="31"/>
      <c r="T126" s="32">
        <f>9913</f>
        <v>9913</v>
      </c>
      <c r="U126" s="32"/>
      <c r="V126" s="32"/>
      <c r="W126" s="32">
        <f>9913</f>
        <v>9913</v>
      </c>
      <c r="X126" s="32"/>
      <c r="Y126" s="32"/>
      <c r="Z126" s="32"/>
      <c r="AA126" s="32"/>
      <c r="AB126" s="34">
        <f>0</f>
        <v>0</v>
      </c>
      <c r="AC126" s="34"/>
    </row>
    <row r="127" spans="1:29" s="1" customFormat="1" ht="13.5" customHeight="1">
      <c r="A127" s="35" t="s">
        <v>143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0" t="s">
        <v>109</v>
      </c>
      <c r="M127" s="30"/>
      <c r="N127" s="30"/>
      <c r="O127" s="30" t="s">
        <v>186</v>
      </c>
      <c r="P127" s="30"/>
      <c r="Q127" s="30"/>
      <c r="R127" s="31" t="s">
        <v>144</v>
      </c>
      <c r="S127" s="31"/>
      <c r="T127" s="32">
        <f>75086.4</f>
        <v>75086.4</v>
      </c>
      <c r="U127" s="32"/>
      <c r="V127" s="32"/>
      <c r="W127" s="32">
        <f>72000</f>
        <v>72000</v>
      </c>
      <c r="X127" s="32"/>
      <c r="Y127" s="32"/>
      <c r="Z127" s="32"/>
      <c r="AA127" s="32"/>
      <c r="AB127" s="34">
        <f>3086.4</f>
        <v>3086.4</v>
      </c>
      <c r="AC127" s="34"/>
    </row>
    <row r="128" spans="1:29" s="1" customFormat="1" ht="13.5" customHeight="1">
      <c r="A128" s="35" t="s">
        <v>187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0" t="s">
        <v>109</v>
      </c>
      <c r="M128" s="30"/>
      <c r="N128" s="30"/>
      <c r="O128" s="30" t="s">
        <v>188</v>
      </c>
      <c r="P128" s="30"/>
      <c r="Q128" s="30"/>
      <c r="R128" s="31" t="s">
        <v>189</v>
      </c>
      <c r="S128" s="31"/>
      <c r="T128" s="32">
        <f>18736716</f>
        <v>18736716</v>
      </c>
      <c r="U128" s="32"/>
      <c r="V128" s="32"/>
      <c r="W128" s="32">
        <f>17487322</f>
        <v>17487322</v>
      </c>
      <c r="X128" s="32"/>
      <c r="Y128" s="32"/>
      <c r="Z128" s="32"/>
      <c r="AA128" s="32"/>
      <c r="AB128" s="34">
        <f>1249394</f>
        <v>1249394</v>
      </c>
      <c r="AC128" s="34"/>
    </row>
    <row r="129" spans="1:29" s="1" customFormat="1" ht="15" customHeight="1">
      <c r="A129" s="41" t="s">
        <v>190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37" t="s">
        <v>191</v>
      </c>
      <c r="M129" s="37"/>
      <c r="N129" s="37"/>
      <c r="O129" s="37" t="s">
        <v>37</v>
      </c>
      <c r="P129" s="37"/>
      <c r="Q129" s="37"/>
      <c r="R129" s="38" t="s">
        <v>37</v>
      </c>
      <c r="S129" s="38"/>
      <c r="T129" s="39">
        <f>-3086336.44</f>
        <v>-3086336.44</v>
      </c>
      <c r="U129" s="39"/>
      <c r="V129" s="39"/>
      <c r="W129" s="39">
        <f>-886135.57</f>
        <v>-886135.57</v>
      </c>
      <c r="X129" s="39"/>
      <c r="Y129" s="39"/>
      <c r="Z129" s="39"/>
      <c r="AA129" s="39"/>
      <c r="AB129" s="40" t="s">
        <v>37</v>
      </c>
      <c r="AC129" s="40"/>
    </row>
    <row r="130" spans="1:29" s="1" customFormat="1" ht="13.5" customHeight="1">
      <c r="A130" s="10" t="s">
        <v>11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s="1" customFormat="1" ht="13.5" customHeight="1">
      <c r="A131" s="12" t="s">
        <v>192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s="1" customFormat="1" ht="45.75" customHeight="1">
      <c r="A132" s="13" t="s">
        <v>23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 t="s">
        <v>24</v>
      </c>
      <c r="N132" s="13"/>
      <c r="O132" s="13"/>
      <c r="P132" s="13" t="s">
        <v>193</v>
      </c>
      <c r="Q132" s="13"/>
      <c r="R132" s="13"/>
      <c r="S132" s="14" t="s">
        <v>26</v>
      </c>
      <c r="T132" s="14"/>
      <c r="U132" s="14"/>
      <c r="V132" s="14" t="s">
        <v>27</v>
      </c>
      <c r="W132" s="14"/>
      <c r="X132" s="14"/>
      <c r="Y132" s="14"/>
      <c r="Z132" s="14"/>
      <c r="AA132" s="15" t="s">
        <v>28</v>
      </c>
      <c r="AB132" s="15"/>
      <c r="AC132" s="15"/>
    </row>
    <row r="133" spans="1:29" s="1" customFormat="1" ht="12.75" customHeight="1">
      <c r="A133" s="16" t="s">
        <v>29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 t="s">
        <v>30</v>
      </c>
      <c r="N133" s="16"/>
      <c r="O133" s="16"/>
      <c r="P133" s="16" t="s">
        <v>31</v>
      </c>
      <c r="Q133" s="16"/>
      <c r="R133" s="16"/>
      <c r="S133" s="17" t="s">
        <v>32</v>
      </c>
      <c r="T133" s="17"/>
      <c r="U133" s="17"/>
      <c r="V133" s="17" t="s">
        <v>33</v>
      </c>
      <c r="W133" s="17"/>
      <c r="X133" s="17"/>
      <c r="Y133" s="17"/>
      <c r="Z133" s="17"/>
      <c r="AA133" s="18" t="s">
        <v>34</v>
      </c>
      <c r="AB133" s="18"/>
      <c r="AC133" s="18"/>
    </row>
    <row r="134" spans="1:29" s="1" customFormat="1" ht="13.5" customHeight="1">
      <c r="A134" s="19" t="s">
        <v>194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20" t="s">
        <v>195</v>
      </c>
      <c r="N134" s="20"/>
      <c r="O134" s="20"/>
      <c r="P134" s="20" t="s">
        <v>37</v>
      </c>
      <c r="Q134" s="20"/>
      <c r="R134" s="20"/>
      <c r="S134" s="42">
        <f>3086336.44</f>
        <v>3086336.44</v>
      </c>
      <c r="T134" s="42"/>
      <c r="U134" s="42"/>
      <c r="V134" s="21">
        <f>886135.57</f>
        <v>886135.57</v>
      </c>
      <c r="W134" s="21"/>
      <c r="X134" s="21"/>
      <c r="Y134" s="21"/>
      <c r="Z134" s="21"/>
      <c r="AA134" s="43" t="s">
        <v>37</v>
      </c>
      <c r="AB134" s="43"/>
      <c r="AC134" s="43"/>
    </row>
    <row r="135" spans="1:29" s="1" customFormat="1" ht="13.5" customHeight="1">
      <c r="A135" s="44" t="s">
        <v>196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5" t="s">
        <v>11</v>
      </c>
      <c r="N135" s="45"/>
      <c r="O135" s="45"/>
      <c r="P135" s="45" t="s">
        <v>11</v>
      </c>
      <c r="Q135" s="45"/>
      <c r="R135" s="45"/>
      <c r="S135" s="46" t="s">
        <v>11</v>
      </c>
      <c r="T135" s="46"/>
      <c r="U135" s="46"/>
      <c r="V135" s="47" t="s">
        <v>11</v>
      </c>
      <c r="W135" s="47"/>
      <c r="X135" s="47"/>
      <c r="Y135" s="47"/>
      <c r="Z135" s="47"/>
      <c r="AA135" s="48" t="s">
        <v>11</v>
      </c>
      <c r="AB135" s="48"/>
      <c r="AC135" s="48"/>
    </row>
    <row r="136" spans="1:29" s="1" customFormat="1" ht="13.5" customHeight="1">
      <c r="A136" s="23" t="s">
        <v>197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49" t="s">
        <v>198</v>
      </c>
      <c r="N136" s="49"/>
      <c r="O136" s="49"/>
      <c r="P136" s="24" t="s">
        <v>37</v>
      </c>
      <c r="Q136" s="24"/>
      <c r="R136" s="24"/>
      <c r="S136" s="50" t="s">
        <v>40</v>
      </c>
      <c r="T136" s="50"/>
      <c r="U136" s="50"/>
      <c r="V136" s="28" t="s">
        <v>40</v>
      </c>
      <c r="W136" s="28"/>
      <c r="X136" s="28"/>
      <c r="Y136" s="28"/>
      <c r="Z136" s="28"/>
      <c r="AA136" s="51" t="s">
        <v>40</v>
      </c>
      <c r="AB136" s="51"/>
      <c r="AC136" s="51"/>
    </row>
    <row r="137" spans="1:29" s="1" customFormat="1" ht="13.5" customHeight="1">
      <c r="A137" s="31" t="s">
        <v>11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s="1" customFormat="1" ht="13.5" customHeight="1">
      <c r="A138" s="35" t="s">
        <v>199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5" t="s">
        <v>200</v>
      </c>
      <c r="N138" s="45"/>
      <c r="O138" s="45"/>
      <c r="P138" s="45" t="s">
        <v>37</v>
      </c>
      <c r="Q138" s="45"/>
      <c r="R138" s="45"/>
      <c r="S138" s="46" t="s">
        <v>40</v>
      </c>
      <c r="T138" s="46"/>
      <c r="U138" s="46"/>
      <c r="V138" s="36" t="s">
        <v>40</v>
      </c>
      <c r="W138" s="36"/>
      <c r="X138" s="36"/>
      <c r="Y138" s="36"/>
      <c r="Z138" s="36"/>
      <c r="AA138" s="48" t="s">
        <v>40</v>
      </c>
      <c r="AB138" s="48"/>
      <c r="AC138" s="48"/>
    </row>
    <row r="139" spans="1:29" s="1" customFormat="1" ht="13.5" customHeight="1">
      <c r="A139" s="35" t="s">
        <v>11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0" t="s">
        <v>200</v>
      </c>
      <c r="N139" s="30"/>
      <c r="O139" s="30"/>
      <c r="P139" s="30" t="s">
        <v>11</v>
      </c>
      <c r="Q139" s="30"/>
      <c r="R139" s="30"/>
      <c r="S139" s="52" t="s">
        <v>40</v>
      </c>
      <c r="T139" s="52"/>
      <c r="U139" s="52"/>
      <c r="V139" s="36" t="s">
        <v>40</v>
      </c>
      <c r="W139" s="36"/>
      <c r="X139" s="36"/>
      <c r="Y139" s="36"/>
      <c r="Z139" s="36"/>
      <c r="AA139" s="53" t="s">
        <v>40</v>
      </c>
      <c r="AB139" s="53"/>
      <c r="AC139" s="53"/>
    </row>
    <row r="140" spans="1:29" s="1" customFormat="1" ht="13.5" customHeight="1">
      <c r="A140" s="35" t="s">
        <v>201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0" t="s">
        <v>202</v>
      </c>
      <c r="N140" s="30"/>
      <c r="O140" s="30"/>
      <c r="P140" s="30" t="s">
        <v>203</v>
      </c>
      <c r="Q140" s="30"/>
      <c r="R140" s="30"/>
      <c r="S140" s="54">
        <f>3086336.44</f>
        <v>3086336.44</v>
      </c>
      <c r="T140" s="54"/>
      <c r="U140" s="54"/>
      <c r="V140" s="32">
        <f>886135.57</f>
        <v>886135.57</v>
      </c>
      <c r="W140" s="32"/>
      <c r="X140" s="32"/>
      <c r="Y140" s="32"/>
      <c r="Z140" s="32"/>
      <c r="AA140" s="55">
        <f>2200200.87</f>
        <v>2200200.87</v>
      </c>
      <c r="AB140" s="55"/>
      <c r="AC140" s="55"/>
    </row>
    <row r="141" spans="1:29" s="1" customFormat="1" ht="13.5" customHeight="1">
      <c r="A141" s="35" t="s">
        <v>204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0" t="s">
        <v>205</v>
      </c>
      <c r="N141" s="30"/>
      <c r="O141" s="30"/>
      <c r="P141" s="30" t="s">
        <v>206</v>
      </c>
      <c r="Q141" s="30"/>
      <c r="R141" s="30"/>
      <c r="S141" s="54">
        <f>-48118891.3</f>
        <v>-48118891.3</v>
      </c>
      <c r="T141" s="54"/>
      <c r="U141" s="54"/>
      <c r="V141" s="32">
        <f>-V12</f>
        <v>-42838568.58</v>
      </c>
      <c r="W141" s="32"/>
      <c r="X141" s="32"/>
      <c r="Y141" s="32"/>
      <c r="Z141" s="32"/>
      <c r="AA141" s="56" t="s">
        <v>37</v>
      </c>
      <c r="AB141" s="56"/>
      <c r="AC141" s="56"/>
    </row>
    <row r="142" spans="1:29" s="1" customFormat="1" ht="13.5" customHeight="1">
      <c r="A142" s="35" t="s">
        <v>207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0" t="s">
        <v>208</v>
      </c>
      <c r="N142" s="30"/>
      <c r="O142" s="30"/>
      <c r="P142" s="30" t="s">
        <v>209</v>
      </c>
      <c r="Q142" s="30"/>
      <c r="R142" s="30"/>
      <c r="S142" s="54">
        <f>51205227.74</f>
        <v>51205227.74</v>
      </c>
      <c r="T142" s="54"/>
      <c r="U142" s="54"/>
      <c r="V142" s="32">
        <f>W56</f>
        <v>43724704.15</v>
      </c>
      <c r="W142" s="32"/>
      <c r="X142" s="32"/>
      <c r="Y142" s="32"/>
      <c r="Z142" s="32"/>
      <c r="AA142" s="56" t="s">
        <v>37</v>
      </c>
      <c r="AB142" s="56"/>
      <c r="AC142" s="56"/>
    </row>
    <row r="143" spans="1:29" s="1" customFormat="1" ht="13.5" customHeight="1">
      <c r="A143" s="57" t="s">
        <v>11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</row>
    <row r="144" spans="1:29" s="1" customFormat="1" ht="13.5" customHeight="1">
      <c r="A144" s="10" t="s">
        <v>210</v>
      </c>
      <c r="B144" s="10"/>
      <c r="C144" s="10"/>
      <c r="D144" s="10"/>
      <c r="E144" s="10"/>
      <c r="F144" s="10"/>
      <c r="G144" s="10"/>
      <c r="H144" s="10"/>
      <c r="I144" s="58" t="s">
        <v>11</v>
      </c>
      <c r="J144" s="58"/>
      <c r="K144" s="58"/>
      <c r="L144" s="58"/>
      <c r="M144" s="58"/>
      <c r="N144" s="58"/>
      <c r="O144" s="58"/>
      <c r="P144" s="58" t="s">
        <v>211</v>
      </c>
      <c r="Q144" s="58"/>
      <c r="R144" s="58"/>
      <c r="S144" s="58"/>
      <c r="T144" s="58"/>
      <c r="U144" s="10" t="s">
        <v>11</v>
      </c>
      <c r="V144" s="10"/>
      <c r="W144" s="10"/>
      <c r="X144" s="10"/>
      <c r="Y144" s="10"/>
      <c r="Z144" s="10"/>
      <c r="AA144" s="10"/>
      <c r="AB144" s="10"/>
      <c r="AC144" s="10"/>
    </row>
    <row r="145" spans="1:29" s="1" customFormat="1" ht="13.5" customHeight="1">
      <c r="A145" s="10" t="s">
        <v>11</v>
      </c>
      <c r="B145" s="10"/>
      <c r="C145" s="10"/>
      <c r="D145" s="10"/>
      <c r="E145" s="10"/>
      <c r="F145" s="10"/>
      <c r="G145" s="10"/>
      <c r="H145" s="10"/>
      <c r="I145" s="5" t="s">
        <v>11</v>
      </c>
      <c r="J145" s="59" t="s">
        <v>212</v>
      </c>
      <c r="K145" s="59"/>
      <c r="L145" s="59"/>
      <c r="M145" s="59"/>
      <c r="N145" s="10" t="s">
        <v>11</v>
      </c>
      <c r="O145" s="10"/>
      <c r="P145" s="5" t="s">
        <v>11</v>
      </c>
      <c r="Q145" s="59" t="s">
        <v>213</v>
      </c>
      <c r="R145" s="59"/>
      <c r="S145" s="59"/>
      <c r="T145" s="10" t="s">
        <v>11</v>
      </c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1" customFormat="1" ht="7.5" customHeight="1">
      <c r="A146" s="10" t="s">
        <v>11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1" customFormat="1" ht="13.5" customHeight="1">
      <c r="A147" s="10" t="s">
        <v>214</v>
      </c>
      <c r="B147" s="10"/>
      <c r="C147" s="10"/>
      <c r="D147" s="10"/>
      <c r="E147" s="10"/>
      <c r="F147" s="10"/>
      <c r="G147" s="10"/>
      <c r="H147" s="10"/>
      <c r="I147" s="58" t="s">
        <v>11</v>
      </c>
      <c r="J147" s="58"/>
      <c r="K147" s="58"/>
      <c r="L147" s="58"/>
      <c r="M147" s="58"/>
      <c r="N147" s="58"/>
      <c r="O147" s="58"/>
      <c r="P147" s="58" t="s">
        <v>215</v>
      </c>
      <c r="Q147" s="58"/>
      <c r="R147" s="58"/>
      <c r="S147" s="58"/>
      <c r="T147" s="58"/>
      <c r="U147" s="10" t="s">
        <v>11</v>
      </c>
      <c r="V147" s="10"/>
      <c r="W147" s="10"/>
      <c r="X147" s="10"/>
      <c r="Y147" s="10"/>
      <c r="Z147" s="10"/>
      <c r="AA147" s="10"/>
      <c r="AB147" s="10"/>
      <c r="AC147" s="10"/>
    </row>
    <row r="148" spans="1:29" s="1" customFormat="1" ht="13.5" customHeight="1">
      <c r="A148" s="10" t="s">
        <v>11</v>
      </c>
      <c r="B148" s="10"/>
      <c r="C148" s="10"/>
      <c r="D148" s="10"/>
      <c r="E148" s="10"/>
      <c r="F148" s="10"/>
      <c r="G148" s="10"/>
      <c r="H148" s="10"/>
      <c r="I148" s="5" t="s">
        <v>11</v>
      </c>
      <c r="J148" s="59" t="s">
        <v>212</v>
      </c>
      <c r="K148" s="59"/>
      <c r="L148" s="59"/>
      <c r="M148" s="59"/>
      <c r="N148" s="10" t="s">
        <v>11</v>
      </c>
      <c r="O148" s="10"/>
      <c r="P148" s="5" t="s">
        <v>11</v>
      </c>
      <c r="Q148" s="59" t="s">
        <v>213</v>
      </c>
      <c r="R148" s="59"/>
      <c r="S148" s="59"/>
      <c r="T148" s="10" t="s">
        <v>11</v>
      </c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s="1" customFormat="1" ht="7.5" customHeight="1">
      <c r="A149" s="10" t="s">
        <v>11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s="1" customFormat="1" ht="13.5" customHeight="1">
      <c r="A150" s="10" t="s">
        <v>216</v>
      </c>
      <c r="B150" s="10"/>
      <c r="C150" s="58" t="s">
        <v>214</v>
      </c>
      <c r="D150" s="58"/>
      <c r="E150" s="58"/>
      <c r="F150" s="58"/>
      <c r="G150" s="58"/>
      <c r="H150" s="58"/>
      <c r="I150" s="58" t="s">
        <v>11</v>
      </c>
      <c r="J150" s="58"/>
      <c r="K150" s="58"/>
      <c r="L150" s="58"/>
      <c r="M150" s="58"/>
      <c r="N150" s="58"/>
      <c r="O150" s="58"/>
      <c r="P150" s="58" t="s">
        <v>215</v>
      </c>
      <c r="Q150" s="58"/>
      <c r="R150" s="58"/>
      <c r="S150" s="58"/>
      <c r="T150" s="58"/>
      <c r="U150" s="10" t="s">
        <v>11</v>
      </c>
      <c r="V150" s="10"/>
      <c r="W150" s="10"/>
      <c r="X150" s="10"/>
      <c r="Y150" s="10"/>
      <c r="Z150" s="10"/>
      <c r="AA150" s="10"/>
      <c r="AB150" s="10"/>
      <c r="AC150" s="10"/>
    </row>
    <row r="151" spans="1:29" s="1" customFormat="1" ht="13.5" customHeight="1">
      <c r="A151" s="10" t="s">
        <v>11</v>
      </c>
      <c r="B151" s="10"/>
      <c r="C151" s="5" t="s">
        <v>11</v>
      </c>
      <c r="D151" s="59" t="s">
        <v>217</v>
      </c>
      <c r="E151" s="59"/>
      <c r="F151" s="59"/>
      <c r="G151" s="59"/>
      <c r="H151" s="5" t="s">
        <v>11</v>
      </c>
      <c r="I151" s="5" t="s">
        <v>11</v>
      </c>
      <c r="J151" s="59" t="s">
        <v>212</v>
      </c>
      <c r="K151" s="59"/>
      <c r="L151" s="59"/>
      <c r="M151" s="59"/>
      <c r="N151" s="10" t="s">
        <v>11</v>
      </c>
      <c r="O151" s="10"/>
      <c r="P151" s="5" t="s">
        <v>11</v>
      </c>
      <c r="Q151" s="59" t="s">
        <v>213</v>
      </c>
      <c r="R151" s="59"/>
      <c r="S151" s="59"/>
      <c r="T151" s="10" t="s">
        <v>11</v>
      </c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s="1" customFormat="1" ht="15.75" customHeight="1">
      <c r="A152" s="10" t="s">
        <v>11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s="1" customFormat="1" ht="13.5" customHeight="1">
      <c r="A153" s="60" t="s">
        <v>218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10" t="s">
        <v>11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s="1" customFormat="1" ht="13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</sheetData>
  <sheetProtection/>
  <mergeCells count="901">
    <mergeCell ref="A152:AC152"/>
    <mergeCell ref="A153:J153"/>
    <mergeCell ref="K153:AC153"/>
    <mergeCell ref="A154:AC154"/>
    <mergeCell ref="A151:B151"/>
    <mergeCell ref="D151:G151"/>
    <mergeCell ref="J151:M151"/>
    <mergeCell ref="N151:O151"/>
    <mergeCell ref="Q151:S151"/>
    <mergeCell ref="T151:AC151"/>
    <mergeCell ref="A149:AC149"/>
    <mergeCell ref="A150:B150"/>
    <mergeCell ref="C150:H150"/>
    <mergeCell ref="I150:O150"/>
    <mergeCell ref="P150:T150"/>
    <mergeCell ref="U150:AC150"/>
    <mergeCell ref="A146:AC146"/>
    <mergeCell ref="A147:H147"/>
    <mergeCell ref="I147:O147"/>
    <mergeCell ref="P147:T147"/>
    <mergeCell ref="U147:AC147"/>
    <mergeCell ref="A148:H148"/>
    <mergeCell ref="J148:M148"/>
    <mergeCell ref="N148:O148"/>
    <mergeCell ref="Q148:S148"/>
    <mergeCell ref="T148:AC148"/>
    <mergeCell ref="A143:AC143"/>
    <mergeCell ref="A144:H144"/>
    <mergeCell ref="I144:O144"/>
    <mergeCell ref="P144:T144"/>
    <mergeCell ref="U144:AC144"/>
    <mergeCell ref="A145:H145"/>
    <mergeCell ref="J145:M145"/>
    <mergeCell ref="N145:O145"/>
    <mergeCell ref="Q145:S145"/>
    <mergeCell ref="T145:AC145"/>
    <mergeCell ref="A142:L142"/>
    <mergeCell ref="M142:O142"/>
    <mergeCell ref="P142:R142"/>
    <mergeCell ref="S142:U142"/>
    <mergeCell ref="V142:Z142"/>
    <mergeCell ref="AA142:AC142"/>
    <mergeCell ref="A141:L141"/>
    <mergeCell ref="M141:O141"/>
    <mergeCell ref="P141:R141"/>
    <mergeCell ref="S141:U141"/>
    <mergeCell ref="V141:Z141"/>
    <mergeCell ref="AA141:AC141"/>
    <mergeCell ref="A140:L140"/>
    <mergeCell ref="M140:O140"/>
    <mergeCell ref="P140:R140"/>
    <mergeCell ref="S140:U140"/>
    <mergeCell ref="V140:Z140"/>
    <mergeCell ref="AA140:AC140"/>
    <mergeCell ref="A139:L139"/>
    <mergeCell ref="M139:O139"/>
    <mergeCell ref="P139:R139"/>
    <mergeCell ref="S139:U139"/>
    <mergeCell ref="V139:Z139"/>
    <mergeCell ref="AA139:AC139"/>
    <mergeCell ref="A137:AC137"/>
    <mergeCell ref="A138:L138"/>
    <mergeCell ref="M138:O138"/>
    <mergeCell ref="P138:R138"/>
    <mergeCell ref="S138:U138"/>
    <mergeCell ref="V138:Z138"/>
    <mergeCell ref="AA138:AC138"/>
    <mergeCell ref="A136:L136"/>
    <mergeCell ref="M136:O136"/>
    <mergeCell ref="P136:R136"/>
    <mergeCell ref="S136:U136"/>
    <mergeCell ref="V136:Z136"/>
    <mergeCell ref="AA136:AC136"/>
    <mergeCell ref="A135:L135"/>
    <mergeCell ref="M135:O135"/>
    <mergeCell ref="P135:R135"/>
    <mergeCell ref="S135:U135"/>
    <mergeCell ref="V135:Z135"/>
    <mergeCell ref="AA135:AC135"/>
    <mergeCell ref="AA133:AC133"/>
    <mergeCell ref="A134:L134"/>
    <mergeCell ref="M134:O134"/>
    <mergeCell ref="P134:R134"/>
    <mergeCell ref="S134:U134"/>
    <mergeCell ref="V134:Z134"/>
    <mergeCell ref="AA134:AC134"/>
    <mergeCell ref="A129:K129"/>
    <mergeCell ref="A133:L133"/>
    <mergeCell ref="M133:O133"/>
    <mergeCell ref="P133:R133"/>
    <mergeCell ref="S133:U133"/>
    <mergeCell ref="V133:Z133"/>
    <mergeCell ref="A130:AC130"/>
    <mergeCell ref="A131:AC131"/>
    <mergeCell ref="A132:L132"/>
    <mergeCell ref="M132:O132"/>
    <mergeCell ref="P132:R132"/>
    <mergeCell ref="S132:U132"/>
    <mergeCell ref="V132:Z132"/>
    <mergeCell ref="AA132:AC132"/>
    <mergeCell ref="L129:N129"/>
    <mergeCell ref="O129:Q129"/>
    <mergeCell ref="R129:S129"/>
    <mergeCell ref="T129:V129"/>
    <mergeCell ref="W129:AA129"/>
    <mergeCell ref="AB127:AC127"/>
    <mergeCell ref="AB128:AC128"/>
    <mergeCell ref="AB129:AC129"/>
    <mergeCell ref="A128:K128"/>
    <mergeCell ref="L128:N128"/>
    <mergeCell ref="O128:Q128"/>
    <mergeCell ref="R128:S128"/>
    <mergeCell ref="T128:V128"/>
    <mergeCell ref="W128:AA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52:AC52"/>
    <mergeCell ref="A53:AC53"/>
    <mergeCell ref="A54:K54"/>
    <mergeCell ref="L54:N54"/>
    <mergeCell ref="O54:Q54"/>
    <mergeCell ref="R54:S54"/>
    <mergeCell ref="T54:V54"/>
    <mergeCell ref="W54:AA54"/>
    <mergeCell ref="AB54:AC54"/>
    <mergeCell ref="A51:L51"/>
    <mergeCell ref="M51:O51"/>
    <mergeCell ref="P51:R51"/>
    <mergeCell ref="S51:U51"/>
    <mergeCell ref="V51:Z51"/>
    <mergeCell ref="AA51:AC51"/>
    <mergeCell ref="A50:L50"/>
    <mergeCell ref="M50:O50"/>
    <mergeCell ref="P50:R50"/>
    <mergeCell ref="S50:U50"/>
    <mergeCell ref="V50:Z50"/>
    <mergeCell ref="AA50:AC50"/>
    <mergeCell ref="A49:L49"/>
    <mergeCell ref="M49:O49"/>
    <mergeCell ref="P49:R49"/>
    <mergeCell ref="S49:U49"/>
    <mergeCell ref="V49:Z49"/>
    <mergeCell ref="AA49:AC49"/>
    <mergeCell ref="A48:L48"/>
    <mergeCell ref="M48:O48"/>
    <mergeCell ref="P48:R48"/>
    <mergeCell ref="S48:U48"/>
    <mergeCell ref="V48:Z48"/>
    <mergeCell ref="AA48:AC48"/>
    <mergeCell ref="A47:L47"/>
    <mergeCell ref="M47:O47"/>
    <mergeCell ref="P47:R47"/>
    <mergeCell ref="S47:U47"/>
    <mergeCell ref="V47:Z47"/>
    <mergeCell ref="AA47:AC47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4" r:id="rId1"/>
  <rowBreaks count="2" manualBreakCount="2">
    <brk id="52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2018-11-06T11:11:05Z</cp:lastPrinted>
  <dcterms:created xsi:type="dcterms:W3CDTF">2018-11-06T11:13:08Z</dcterms:created>
  <dcterms:modified xsi:type="dcterms:W3CDTF">2018-11-08T05:30:49Z</dcterms:modified>
  <cp:category/>
  <cp:version/>
  <cp:contentType/>
  <cp:contentStatus/>
</cp:coreProperties>
</file>