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<sst xmlns="http://schemas.openxmlformats.org/spreadsheetml/2006/main" count="513" uniqueCount="189">
  <si>
    <t>ОТЧЕТ ОБ ИСПОЛНЕНИИ БЮДЖЕТА</t>
  </si>
  <si>
    <t>КОДЫ</t>
  </si>
  <si>
    <t xml:space="preserve">Форма по ОКУД </t>
  </si>
  <si>
    <t>0503117</t>
  </si>
  <si>
    <t>на 1 мая 2017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</si>
  <si>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</si>
  <si>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</si>
  <si>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Сентябрьский"</t>
  </si>
  <si>
    <t xml:space="preserve">по ОКПО </t>
  </si>
  <si>
    <t xml:space="preserve">Глава по БК </t>
  </si>
  <si>
    <t>93918995</t>
  </si>
  <si>
    <t/>
  </si>
  <si>
    <t>Наименование публично-правового образования</t>
  </si>
  <si>
    <t>Бюджет сп Сентябрьский</t>
  </si>
  <si>
    <t xml:space="preserve">по ОКТМО </t>
  </si>
  <si>
    <t>71818406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</si>
  <si>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</si>
  <si>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</si>
  <si>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</si>
  <si>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</si>
  <si>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</si>
  <si>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</si>
  <si>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</si>
  <si>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</si>
  <si>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</si>
  <si>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</si>
  <si>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</si>
  <si>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</si>
  <si>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</si>
  <si>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</si>
  <si>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</si>
  <si>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</si>
  <si>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</si>
  <si>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</si>
  <si>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</si>
  <si>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</si>
  <si>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</si>
  <si>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</si>
  <si>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</si>
  <si>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</si>
  <si>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</si>
  <si>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</si>
  <si>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</si>
  <si>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</si>
  <si>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</si>
  <si>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</si>
  <si>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</si>
  <si>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</si>
  <si>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</si>
  <si>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</si>
  <si>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</si>
  <si>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</si>
  <si>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</si>
  <si>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182 10102030 01 1000 110</t>
  </si>
  <si>
    <t>Единый налог на вмененный доход для отдельных видов деятельности</t>
  </si>
  <si>
    <t>182 10502010 02 0000 110</t>
  </si>
  <si>
    <t>182 10502010 02 1000 110</t>
  </si>
  <si>
    <t>182 10502010 02 2100 110</t>
  </si>
  <si>
    <t>182 10502010 02 3000 110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</si>
  <si>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</si>
  <si>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</si>
  <si>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</si>
  <si>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</si>
  <si>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</si>
  <si>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182 10601030 10 4000 110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</si>
  <si>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</si>
  <si>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</si>
  <si>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</si>
  <si>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</si>
  <si>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</si>
  <si>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</si>
  <si>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</si>
  <si>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</si>
  <si>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</si>
  <si>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</si>
  <si>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</si>
  <si>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</si>
  <si>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</si>
  <si>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</si>
  <si>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</si>
  <si>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</si>
  <si>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</si>
  <si>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Доходы от продажи квартир, находящихся в собственности сельских поселений</t>
  </si>
  <si>
    <t>650 11401050 10 0000 410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</si>
  <si>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</si>
  <si>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</si>
  <si>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</si>
  <si>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</si>
  <si>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</si>
  <si>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</si>
  <si>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</si>
  <si>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</si>
  <si>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</si>
  <si>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</si>
  <si>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</si>
  <si>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</si>
  <si>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</si>
  <si>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</si>
  <si>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</si>
  <si>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</si>
  <si>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</si>
  <si>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Начисления на выплаты по оплате труда</t>
  </si>
  <si>
    <t>650 0102 5010002030 129</t>
  </si>
  <si>
    <t>213</t>
  </si>
  <si>
    <t>Прочие выплаты</t>
  </si>
  <si>
    <t>650 0104 2000102040 122</t>
  </si>
  <si>
    <t>212</t>
  </si>
  <si>
    <t>650 0104 5010002040 121</t>
  </si>
  <si>
    <t>650 0104 5010002040 122</t>
  </si>
  <si>
    <t>650 0104 5010002040 129</t>
  </si>
  <si>
    <t>Прочие расходы</t>
  </si>
  <si>
    <t>650 0111 5000020940 870</t>
  </si>
  <si>
    <t>290</t>
  </si>
  <si>
    <t>Увеличение стоимости основных средств</t>
  </si>
  <si>
    <t>650 0113 1600120964 412</t>
  </si>
  <si>
    <t>310</t>
  </si>
  <si>
    <t>Прочие работы, услуги</t>
  </si>
  <si>
    <t>650 0113 2000199990 244</t>
  </si>
  <si>
    <t>226</t>
  </si>
  <si>
    <t>650 0113 5020000600 111</t>
  </si>
  <si>
    <t>650 0113 5020000600 112</t>
  </si>
  <si>
    <t>650 0113 5020000600 119</t>
  </si>
  <si>
    <t>Услуги связи</t>
  </si>
  <si>
    <t>650 0113 5020000600 244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</si>
  <si>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</si>
  <si>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</si>
  <si>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</si>
  <si>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</si>
  <si>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</si>
  <si>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</si>
  <si>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</si>
  <si>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650 0113 5020000600 852</t>
  </si>
  <si>
    <t>650 0113 5020000600 853</t>
  </si>
  <si>
    <t>650 0113 5030009200 853</t>
  </si>
  <si>
    <t>Арендная плата за пользование имуществом</t>
  </si>
  <si>
    <t>650 0113 5030009300 244</t>
  </si>
  <si>
    <t>224</t>
  </si>
  <si>
    <t>650 0113 5030009300 851</t>
  </si>
  <si>
    <t>650 0113 5030009300 852</t>
  </si>
  <si>
    <t>650 0113 5030009300 853</t>
  </si>
  <si>
    <t>650 0203 5000051180 121</t>
  </si>
  <si>
    <t>650 0203 5000051180 129</t>
  </si>
  <si>
    <t>650 0309 5030003090 244</t>
  </si>
  <si>
    <t>650 0314 1000182300 123</t>
  </si>
  <si>
    <t>650 0314 10001S2300 123</t>
  </si>
  <si>
    <t>650 0314 2100199990 244</t>
  </si>
  <si>
    <t>650 0409 1500399990 244</t>
  </si>
  <si>
    <t>650 0409 1500482390 244</t>
  </si>
  <si>
    <t>650 0409 15004S2390 244</t>
  </si>
  <si>
    <t>650 0410 0400199990 242</t>
  </si>
  <si>
    <t>650 0410 0400420070 242</t>
  </si>
  <si>
    <t>650 0501 0820220672 412</t>
  </si>
  <si>
    <t>650 0501 1600199990 244</t>
  </si>
  <si>
    <t>650 0501 1600199990 412</t>
  </si>
  <si>
    <t>650 0503 0900199990 244</t>
  </si>
  <si>
    <t>650 0503 0920320616 244</t>
  </si>
  <si>
    <t>650 0707 0100199990 244</t>
  </si>
  <si>
    <t>Перечисления другим бюджетам бюджетной системы Российской Федерации</t>
  </si>
  <si>
    <t>650 1403 5030089020 540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</si>
  <si>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</si>
  <si>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</si>
  <si>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</si>
  <si>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</si>
  <si>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</si>
  <si>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</si>
  <si>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</si>
  <si>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</si>
  <si>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</si>
  <si>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</si>
  <si>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</si>
  <si>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</si>
  <si>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</si>
  <si>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</si>
  <si>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</si>
  <si>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</si>
  <si>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</si>
  <si>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</si>
  <si>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</si>
  <si>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</si>
  <si>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</si>
  <si>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поселения</t>
  </si>
  <si>
    <t>Светлаков А. В.</t>
  </si>
  <si>
    <t>(подпись)</t>
  </si>
  <si>
    <t>(расшифровка подписи)</t>
  </si>
  <si>
    <t>Начальник отдела-главный бухгалтер</t>
  </si>
  <si>
    <t>Шабалина О. В.</t>
  </si>
  <si>
    <t>Исполнитель:</t>
  </si>
  <si>
    <t>(должность)</t>
  </si>
  <si>
    <t xml:space="preserve">   2 мая 2017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</si>
</sst>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lef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9"/>
  <sheetViews>
    <sheetView tabSelected="1" zoomScalePageLayoutView="0" workbookViewId="0" topLeftCell="A43">
      <selection activeCell="W53" activeCellId="1" sqref="W50:AA50 W53:AA5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2" t="s">
        <v>1</v>
      </c>
    </row>
    <row r="2" spans="1:29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3" t="s">
        <v>3</v>
      </c>
    </row>
    <row r="3" spans="1:29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 t="s">
        <v>5</v>
      </c>
      <c r="AA3" s="9"/>
      <c r="AB3" s="9"/>
      <c r="AC3" s="4">
        <v>42856</v>
      </c>
    </row>
    <row r="4" spans="1:29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9" t="s">
        <v>8</v>
      </c>
      <c r="Z4" s="9"/>
      <c r="AA4" s="9"/>
      <c r="AB4" s="9"/>
      <c r="AC4" s="6" t="s">
        <v>10</v>
      </c>
    </row>
    <row r="5" spans="1:29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" t="s">
        <v>9</v>
      </c>
      <c r="Z5" s="9"/>
      <c r="AA5" s="9"/>
      <c r="AB5" s="9"/>
      <c r="AC5" s="6" t="s">
        <v>11</v>
      </c>
    </row>
    <row r="6" spans="1:29" s="1" customFormat="1" ht="13.5" customHeight="1">
      <c r="A6" s="10" t="s">
        <v>12</v>
      </c>
      <c r="B6" s="10"/>
      <c r="C6" s="10"/>
      <c r="D6" s="10"/>
      <c r="E6" s="10"/>
      <c r="F6" s="10"/>
      <c r="G6" s="11" t="s">
        <v>13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9" t="s">
        <v>14</v>
      </c>
      <c r="Z6" s="9"/>
      <c r="AA6" s="9"/>
      <c r="AB6" s="9"/>
      <c r="AC6" s="6" t="s">
        <v>15</v>
      </c>
    </row>
    <row r="7" spans="1:29" s="1" customFormat="1" ht="13.5" customHeight="1">
      <c r="A7" s="5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6" t="s">
        <v>11</v>
      </c>
    </row>
    <row r="8" spans="1:29" s="1" customFormat="1" ht="13.5" customHeight="1">
      <c r="A8" s="10" t="s">
        <v>18</v>
      </c>
      <c r="B8" s="10"/>
      <c r="C8" s="10"/>
      <c r="D8" s="10"/>
      <c r="E8" s="10" t="s">
        <v>19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 t="s">
        <v>20</v>
      </c>
      <c r="Y8" s="9"/>
      <c r="Z8" s="9"/>
      <c r="AA8" s="9"/>
      <c r="AB8" s="9"/>
      <c r="AC8" s="7" t="s">
        <v>21</v>
      </c>
    </row>
    <row r="9" spans="1:29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24</v>
      </c>
      <c r="N10" s="13"/>
      <c r="O10" s="13"/>
      <c r="P10" s="13" t="s">
        <v>25</v>
      </c>
      <c r="Q10" s="13"/>
      <c r="R10" s="13"/>
      <c r="S10" s="14" t="s">
        <v>26</v>
      </c>
      <c r="T10" s="14"/>
      <c r="U10" s="14"/>
      <c r="V10" s="14" t="s">
        <v>27</v>
      </c>
      <c r="W10" s="14"/>
      <c r="X10" s="14"/>
      <c r="Y10" s="14"/>
      <c r="Z10" s="14"/>
      <c r="AA10" s="15" t="s">
        <v>28</v>
      </c>
      <c r="AB10" s="15"/>
      <c r="AC10" s="15"/>
    </row>
    <row r="11" spans="1:29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30</v>
      </c>
      <c r="N11" s="16"/>
      <c r="O11" s="16"/>
      <c r="P11" s="16" t="s">
        <v>31</v>
      </c>
      <c r="Q11" s="16"/>
      <c r="R11" s="16"/>
      <c r="S11" s="17" t="s">
        <v>32</v>
      </c>
      <c r="T11" s="17"/>
      <c r="U11" s="17"/>
      <c r="V11" s="17" t="s">
        <v>33</v>
      </c>
      <c r="W11" s="17"/>
      <c r="X11" s="17"/>
      <c r="Y11" s="17"/>
      <c r="Z11" s="17"/>
      <c r="AA11" s="18" t="s">
        <v>34</v>
      </c>
      <c r="AB11" s="18"/>
      <c r="AC11" s="18"/>
    </row>
    <row r="12" spans="1:29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36</v>
      </c>
      <c r="N12" s="20"/>
      <c r="O12" s="20"/>
      <c r="P12" s="20" t="s">
        <v>37</v>
      </c>
      <c r="Q12" s="20"/>
      <c r="R12" s="20"/>
      <c r="S12" s="21">
        <f>39302198</f>
        <v>39302198</v>
      </c>
      <c r="T12" s="21"/>
      <c r="U12" s="21"/>
      <c r="V12" s="21">
        <f>23078981.25</f>
        <v>23078981.25</v>
      </c>
      <c r="W12" s="21"/>
      <c r="X12" s="21"/>
      <c r="Y12" s="21"/>
      <c r="Z12" s="21"/>
      <c r="AA12" s="22">
        <f>16223216.75</f>
        <v>16223216.75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36</v>
      </c>
      <c r="N13" s="24"/>
      <c r="O13" s="24"/>
      <c r="P13" s="24" t="s">
        <v>39</v>
      </c>
      <c r="Q13" s="24"/>
      <c r="R13" s="24"/>
      <c r="S13" s="25">
        <f>219240</f>
        <v>219240</v>
      </c>
      <c r="T13" s="25"/>
      <c r="U13" s="25"/>
      <c r="V13" s="25">
        <f>47368.29</f>
        <v>47368.29</v>
      </c>
      <c r="W13" s="25"/>
      <c r="X13" s="25"/>
      <c r="Y13" s="25"/>
      <c r="Z13" s="25"/>
      <c r="AA13" s="26">
        <f>171871.71</f>
        <v>171871.71</v>
      </c>
      <c r="AB13" s="26"/>
      <c r="AC13" s="26"/>
    </row>
    <row r="14" spans="1:29" s="1" customFormat="1" ht="54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36</v>
      </c>
      <c r="N14" s="24"/>
      <c r="O14" s="24"/>
      <c r="P14" s="24" t="s">
        <v>41</v>
      </c>
      <c r="Q14" s="24"/>
      <c r="R14" s="24"/>
      <c r="S14" s="25">
        <f>3410</f>
        <v>3410</v>
      </c>
      <c r="T14" s="25"/>
      <c r="U14" s="25"/>
      <c r="V14" s="25">
        <f>496.76</f>
        <v>496.76</v>
      </c>
      <c r="W14" s="25"/>
      <c r="X14" s="25"/>
      <c r="Y14" s="25"/>
      <c r="Z14" s="25"/>
      <c r="AA14" s="26">
        <f>2913.24</f>
        <v>2913.24</v>
      </c>
      <c r="AB14" s="26"/>
      <c r="AC14" s="26"/>
    </row>
    <row r="15" spans="1:29" s="1" customFormat="1" ht="45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36</v>
      </c>
      <c r="N15" s="24"/>
      <c r="O15" s="24"/>
      <c r="P15" s="24" t="s">
        <v>43</v>
      </c>
      <c r="Q15" s="24"/>
      <c r="R15" s="24"/>
      <c r="S15" s="25">
        <f>250908</f>
        <v>250908</v>
      </c>
      <c r="T15" s="25"/>
      <c r="U15" s="25"/>
      <c r="V15" s="25">
        <f>84041.6</f>
        <v>84041.6</v>
      </c>
      <c r="W15" s="25"/>
      <c r="X15" s="25"/>
      <c r="Y15" s="25"/>
      <c r="Z15" s="25"/>
      <c r="AA15" s="26">
        <f>166866.4</f>
        <v>166866.4</v>
      </c>
      <c r="AB15" s="26"/>
      <c r="AC15" s="26"/>
    </row>
    <row r="16" spans="1:29" s="1" customFormat="1" ht="4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36</v>
      </c>
      <c r="N16" s="24"/>
      <c r="O16" s="24"/>
      <c r="P16" s="24" t="s">
        <v>45</v>
      </c>
      <c r="Q16" s="24"/>
      <c r="R16" s="24"/>
      <c r="S16" s="25">
        <f>13642</f>
        <v>13642</v>
      </c>
      <c r="T16" s="25"/>
      <c r="U16" s="25"/>
      <c r="V16" s="25">
        <f>-9028.65</f>
        <v>-9028.65</v>
      </c>
      <c r="W16" s="25"/>
      <c r="X16" s="25"/>
      <c r="Y16" s="25"/>
      <c r="Z16" s="25"/>
      <c r="AA16" s="26">
        <f>22670.65</f>
        <v>22670.65</v>
      </c>
      <c r="AB16" s="26"/>
      <c r="AC16" s="26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36</v>
      </c>
      <c r="N17" s="24"/>
      <c r="O17" s="24"/>
      <c r="P17" s="24" t="s">
        <v>47</v>
      </c>
      <c r="Q17" s="24"/>
      <c r="R17" s="24"/>
      <c r="S17" s="25">
        <f>10655000</f>
        <v>10655000</v>
      </c>
      <c r="T17" s="25"/>
      <c r="U17" s="25"/>
      <c r="V17" s="27" t="s">
        <v>48</v>
      </c>
      <c r="W17" s="27"/>
      <c r="X17" s="27"/>
      <c r="Y17" s="27"/>
      <c r="Z17" s="27"/>
      <c r="AA17" s="26">
        <f>10655000</f>
        <v>10655000</v>
      </c>
      <c r="AB17" s="26"/>
      <c r="AC17" s="26"/>
    </row>
    <row r="18" spans="1:29" s="1" customFormat="1" ht="45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36</v>
      </c>
      <c r="N18" s="24"/>
      <c r="O18" s="24"/>
      <c r="P18" s="24" t="s">
        <v>49</v>
      </c>
      <c r="Q18" s="24"/>
      <c r="R18" s="24"/>
      <c r="S18" s="27" t="s">
        <v>48</v>
      </c>
      <c r="T18" s="27"/>
      <c r="U18" s="27"/>
      <c r="V18" s="25">
        <f>3802760.69</f>
        <v>3802760.69</v>
      </c>
      <c r="W18" s="25"/>
      <c r="X18" s="25"/>
      <c r="Y18" s="25"/>
      <c r="Z18" s="25"/>
      <c r="AA18" s="26">
        <f>0</f>
        <v>0</v>
      </c>
      <c r="AB18" s="26"/>
      <c r="AC18" s="26"/>
    </row>
    <row r="19" spans="1:29" s="1" customFormat="1" ht="45" customHeight="1">
      <c r="A19" s="23" t="s">
        <v>46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36</v>
      </c>
      <c r="N19" s="24"/>
      <c r="O19" s="24"/>
      <c r="P19" s="24" t="s">
        <v>50</v>
      </c>
      <c r="Q19" s="24"/>
      <c r="R19" s="24"/>
      <c r="S19" s="27" t="s">
        <v>48</v>
      </c>
      <c r="T19" s="27"/>
      <c r="U19" s="27"/>
      <c r="V19" s="25">
        <f>2832.62</f>
        <v>2832.62</v>
      </c>
      <c r="W19" s="25"/>
      <c r="X19" s="25"/>
      <c r="Y19" s="25"/>
      <c r="Z19" s="25"/>
      <c r="AA19" s="26">
        <f>0</f>
        <v>0</v>
      </c>
      <c r="AB19" s="26"/>
      <c r="AC19" s="26"/>
    </row>
    <row r="20" spans="1:29" s="1" customFormat="1" ht="45" customHeight="1">
      <c r="A20" s="23" t="s">
        <v>46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36</v>
      </c>
      <c r="N20" s="24"/>
      <c r="O20" s="24"/>
      <c r="P20" s="24" t="s">
        <v>51</v>
      </c>
      <c r="Q20" s="24"/>
      <c r="R20" s="24"/>
      <c r="S20" s="27" t="s">
        <v>48</v>
      </c>
      <c r="T20" s="27"/>
      <c r="U20" s="27"/>
      <c r="V20" s="25">
        <f>4434.29</f>
        <v>4434.29</v>
      </c>
      <c r="W20" s="25"/>
      <c r="X20" s="25"/>
      <c r="Y20" s="25"/>
      <c r="Z20" s="25"/>
      <c r="AA20" s="26">
        <f>0</f>
        <v>0</v>
      </c>
      <c r="AB20" s="26"/>
      <c r="AC20" s="26"/>
    </row>
    <row r="21" spans="1:29" s="1" customFormat="1" ht="24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36</v>
      </c>
      <c r="N21" s="24"/>
      <c r="O21" s="24"/>
      <c r="P21" s="24" t="s">
        <v>53</v>
      </c>
      <c r="Q21" s="24"/>
      <c r="R21" s="24"/>
      <c r="S21" s="27" t="s">
        <v>48</v>
      </c>
      <c r="T21" s="27"/>
      <c r="U21" s="27"/>
      <c r="V21" s="25">
        <f>2210</f>
        <v>2210</v>
      </c>
      <c r="W21" s="25"/>
      <c r="X21" s="25"/>
      <c r="Y21" s="25"/>
      <c r="Z21" s="25"/>
      <c r="AA21" s="26">
        <f>0</f>
        <v>0</v>
      </c>
      <c r="AB21" s="26"/>
      <c r="AC21" s="26"/>
    </row>
    <row r="22" spans="1:29" s="1" customFormat="1" ht="13.5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36</v>
      </c>
      <c r="N22" s="24"/>
      <c r="O22" s="24"/>
      <c r="P22" s="24" t="s">
        <v>55</v>
      </c>
      <c r="Q22" s="24"/>
      <c r="R22" s="24"/>
      <c r="S22" s="25">
        <f>113000</f>
        <v>113000</v>
      </c>
      <c r="T22" s="25"/>
      <c r="U22" s="25"/>
      <c r="V22" s="27" t="s">
        <v>48</v>
      </c>
      <c r="W22" s="27"/>
      <c r="X22" s="27"/>
      <c r="Y22" s="27"/>
      <c r="Z22" s="27"/>
      <c r="AA22" s="26">
        <f>113000</f>
        <v>113000</v>
      </c>
      <c r="AB22" s="26"/>
      <c r="AC22" s="26"/>
    </row>
    <row r="23" spans="1:29" s="1" customFormat="1" ht="13.5" customHeight="1">
      <c r="A23" s="23" t="s">
        <v>54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36</v>
      </c>
      <c r="N23" s="24"/>
      <c r="O23" s="24"/>
      <c r="P23" s="24" t="s">
        <v>56</v>
      </c>
      <c r="Q23" s="24"/>
      <c r="R23" s="24"/>
      <c r="S23" s="27" t="s">
        <v>48</v>
      </c>
      <c r="T23" s="27"/>
      <c r="U23" s="27"/>
      <c r="V23" s="25">
        <f>39663</f>
        <v>39663</v>
      </c>
      <c r="W23" s="25"/>
      <c r="X23" s="25"/>
      <c r="Y23" s="25"/>
      <c r="Z23" s="25"/>
      <c r="AA23" s="26">
        <f>0</f>
        <v>0</v>
      </c>
      <c r="AB23" s="26"/>
      <c r="AC23" s="26"/>
    </row>
    <row r="24" spans="1:29" s="1" customFormat="1" ht="13.5" customHeight="1">
      <c r="A24" s="23" t="s">
        <v>54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36</v>
      </c>
      <c r="N24" s="24"/>
      <c r="O24" s="24"/>
      <c r="P24" s="24" t="s">
        <v>57</v>
      </c>
      <c r="Q24" s="24"/>
      <c r="R24" s="24"/>
      <c r="S24" s="27" t="s">
        <v>48</v>
      </c>
      <c r="T24" s="27"/>
      <c r="U24" s="27"/>
      <c r="V24" s="25">
        <f>57.98</f>
        <v>57.98</v>
      </c>
      <c r="W24" s="25"/>
      <c r="X24" s="25"/>
      <c r="Y24" s="25"/>
      <c r="Z24" s="25"/>
      <c r="AA24" s="26">
        <f>0</f>
        <v>0</v>
      </c>
      <c r="AB24" s="26"/>
      <c r="AC24" s="26"/>
    </row>
    <row r="25" spans="1:29" s="1" customFormat="1" ht="13.5" customHeight="1">
      <c r="A25" s="23" t="s">
        <v>54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36</v>
      </c>
      <c r="N25" s="24"/>
      <c r="O25" s="24"/>
      <c r="P25" s="24" t="s">
        <v>58</v>
      </c>
      <c r="Q25" s="24"/>
      <c r="R25" s="24"/>
      <c r="S25" s="27" t="s">
        <v>48</v>
      </c>
      <c r="T25" s="27"/>
      <c r="U25" s="27"/>
      <c r="V25" s="25">
        <f>500</f>
        <v>500</v>
      </c>
      <c r="W25" s="25"/>
      <c r="X25" s="25"/>
      <c r="Y25" s="25"/>
      <c r="Z25" s="25"/>
      <c r="AA25" s="26">
        <f>0</f>
        <v>0</v>
      </c>
      <c r="AB25" s="26"/>
      <c r="AC25" s="26"/>
    </row>
    <row r="26" spans="1:29" s="1" customFormat="1" ht="24" customHeight="1">
      <c r="A26" s="23" t="s">
        <v>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36</v>
      </c>
      <c r="N26" s="24"/>
      <c r="O26" s="24"/>
      <c r="P26" s="24" t="s">
        <v>60</v>
      </c>
      <c r="Q26" s="24"/>
      <c r="R26" s="24"/>
      <c r="S26" s="25">
        <f>300000</f>
        <v>300000</v>
      </c>
      <c r="T26" s="25"/>
      <c r="U26" s="25"/>
      <c r="V26" s="27" t="s">
        <v>48</v>
      </c>
      <c r="W26" s="27"/>
      <c r="X26" s="27"/>
      <c r="Y26" s="27"/>
      <c r="Z26" s="27"/>
      <c r="AA26" s="26">
        <f>300000</f>
        <v>300000</v>
      </c>
      <c r="AB26" s="26"/>
      <c r="AC26" s="26"/>
    </row>
    <row r="27" spans="1:29" s="1" customFormat="1" ht="33.75" customHeight="1">
      <c r="A27" s="23" t="s">
        <v>61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36</v>
      </c>
      <c r="N27" s="24"/>
      <c r="O27" s="24"/>
      <c r="P27" s="24" t="s">
        <v>62</v>
      </c>
      <c r="Q27" s="24"/>
      <c r="R27" s="24"/>
      <c r="S27" s="27" t="s">
        <v>48</v>
      </c>
      <c r="T27" s="27"/>
      <c r="U27" s="27"/>
      <c r="V27" s="25">
        <f>37662.54</f>
        <v>37662.54</v>
      </c>
      <c r="W27" s="25"/>
      <c r="X27" s="25"/>
      <c r="Y27" s="25"/>
      <c r="Z27" s="25"/>
      <c r="AA27" s="26">
        <f>0</f>
        <v>0</v>
      </c>
      <c r="AB27" s="26"/>
      <c r="AC27" s="26"/>
    </row>
    <row r="28" spans="1:29" s="1" customFormat="1" ht="33.75" customHeight="1">
      <c r="A28" s="23" t="s">
        <v>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36</v>
      </c>
      <c r="N28" s="24"/>
      <c r="O28" s="24"/>
      <c r="P28" s="24" t="s">
        <v>63</v>
      </c>
      <c r="Q28" s="24"/>
      <c r="R28" s="24"/>
      <c r="S28" s="27" t="s">
        <v>48</v>
      </c>
      <c r="T28" s="27"/>
      <c r="U28" s="27"/>
      <c r="V28" s="25">
        <f>7286.76</f>
        <v>7286.76</v>
      </c>
      <c r="W28" s="25"/>
      <c r="X28" s="25"/>
      <c r="Y28" s="25"/>
      <c r="Z28" s="25"/>
      <c r="AA28" s="26">
        <f>0</f>
        <v>0</v>
      </c>
      <c r="AB28" s="26"/>
      <c r="AC28" s="26"/>
    </row>
    <row r="29" spans="1:29" s="1" customFormat="1" ht="33.75" customHeight="1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36</v>
      </c>
      <c r="N29" s="24"/>
      <c r="O29" s="24"/>
      <c r="P29" s="24" t="s">
        <v>64</v>
      </c>
      <c r="Q29" s="24"/>
      <c r="R29" s="24"/>
      <c r="S29" s="27" t="s">
        <v>48</v>
      </c>
      <c r="T29" s="27"/>
      <c r="U29" s="27"/>
      <c r="V29" s="25">
        <f>-5.34</f>
        <v>-5.34</v>
      </c>
      <c r="W29" s="25"/>
      <c r="X29" s="25"/>
      <c r="Y29" s="25"/>
      <c r="Z29" s="25"/>
      <c r="AA29" s="26">
        <f>0</f>
        <v>0</v>
      </c>
      <c r="AB29" s="26"/>
      <c r="AC29" s="26"/>
    </row>
    <row r="30" spans="1:29" s="1" customFormat="1" ht="24" customHeight="1">
      <c r="A30" s="23" t="s">
        <v>65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36</v>
      </c>
      <c r="N30" s="24"/>
      <c r="O30" s="24"/>
      <c r="P30" s="24" t="s">
        <v>66</v>
      </c>
      <c r="Q30" s="24"/>
      <c r="R30" s="24"/>
      <c r="S30" s="25">
        <f>120000</f>
        <v>120000</v>
      </c>
      <c r="T30" s="25"/>
      <c r="U30" s="25"/>
      <c r="V30" s="27" t="s">
        <v>48</v>
      </c>
      <c r="W30" s="27"/>
      <c r="X30" s="27"/>
      <c r="Y30" s="27"/>
      <c r="Z30" s="27"/>
      <c r="AA30" s="26">
        <f>120000</f>
        <v>120000</v>
      </c>
      <c r="AB30" s="26"/>
      <c r="AC30" s="26"/>
    </row>
    <row r="31" spans="1:29" s="1" customFormat="1" ht="24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36</v>
      </c>
      <c r="N31" s="24"/>
      <c r="O31" s="24"/>
      <c r="P31" s="24" t="s">
        <v>68</v>
      </c>
      <c r="Q31" s="24"/>
      <c r="R31" s="24"/>
      <c r="S31" s="27" t="s">
        <v>48</v>
      </c>
      <c r="T31" s="27"/>
      <c r="U31" s="27"/>
      <c r="V31" s="25">
        <f>41386</f>
        <v>41386</v>
      </c>
      <c r="W31" s="25"/>
      <c r="X31" s="25"/>
      <c r="Y31" s="25"/>
      <c r="Z31" s="25"/>
      <c r="AA31" s="26">
        <f>0</f>
        <v>0</v>
      </c>
      <c r="AB31" s="26"/>
      <c r="AC31" s="26"/>
    </row>
    <row r="32" spans="1:29" s="1" customFormat="1" ht="24" customHeight="1">
      <c r="A32" s="23" t="s">
        <v>67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36</v>
      </c>
      <c r="N32" s="24"/>
      <c r="O32" s="24"/>
      <c r="P32" s="24" t="s">
        <v>69</v>
      </c>
      <c r="Q32" s="24"/>
      <c r="R32" s="24"/>
      <c r="S32" s="27" t="s">
        <v>48</v>
      </c>
      <c r="T32" s="27"/>
      <c r="U32" s="27"/>
      <c r="V32" s="25">
        <f>562.24</f>
        <v>562.24</v>
      </c>
      <c r="W32" s="25"/>
      <c r="X32" s="25"/>
      <c r="Y32" s="25"/>
      <c r="Z32" s="25"/>
      <c r="AA32" s="26">
        <f>0</f>
        <v>0</v>
      </c>
      <c r="AB32" s="26"/>
      <c r="AC32" s="26"/>
    </row>
    <row r="33" spans="1:29" s="1" customFormat="1" ht="24" customHeight="1">
      <c r="A33" s="23" t="s">
        <v>70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36</v>
      </c>
      <c r="N33" s="24"/>
      <c r="O33" s="24"/>
      <c r="P33" s="24" t="s">
        <v>71</v>
      </c>
      <c r="Q33" s="24"/>
      <c r="R33" s="24"/>
      <c r="S33" s="25">
        <f>5000</f>
        <v>5000</v>
      </c>
      <c r="T33" s="25"/>
      <c r="U33" s="25"/>
      <c r="V33" s="27" t="s">
        <v>48</v>
      </c>
      <c r="W33" s="27"/>
      <c r="X33" s="27"/>
      <c r="Y33" s="27"/>
      <c r="Z33" s="27"/>
      <c r="AA33" s="26">
        <f>5000</f>
        <v>5000</v>
      </c>
      <c r="AB33" s="26"/>
      <c r="AC33" s="26"/>
    </row>
    <row r="34" spans="1:29" s="1" customFormat="1" ht="24" customHeight="1">
      <c r="A34" s="23" t="s">
        <v>72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36</v>
      </c>
      <c r="N34" s="24"/>
      <c r="O34" s="24"/>
      <c r="P34" s="24" t="s">
        <v>73</v>
      </c>
      <c r="Q34" s="24"/>
      <c r="R34" s="24"/>
      <c r="S34" s="27" t="s">
        <v>48</v>
      </c>
      <c r="T34" s="27"/>
      <c r="U34" s="27"/>
      <c r="V34" s="25">
        <f>1199.79</f>
        <v>1199.79</v>
      </c>
      <c r="W34" s="25"/>
      <c r="X34" s="25"/>
      <c r="Y34" s="25"/>
      <c r="Z34" s="25"/>
      <c r="AA34" s="26">
        <f>0</f>
        <v>0</v>
      </c>
      <c r="AB34" s="26"/>
      <c r="AC34" s="26"/>
    </row>
    <row r="35" spans="1:29" s="1" customFormat="1" ht="24" customHeight="1">
      <c r="A35" s="23" t="s">
        <v>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36</v>
      </c>
      <c r="N35" s="24"/>
      <c r="O35" s="24"/>
      <c r="P35" s="24" t="s">
        <v>74</v>
      </c>
      <c r="Q35" s="24"/>
      <c r="R35" s="24"/>
      <c r="S35" s="27" t="s">
        <v>48</v>
      </c>
      <c r="T35" s="27"/>
      <c r="U35" s="27"/>
      <c r="V35" s="25">
        <f>382.12</f>
        <v>382.12</v>
      </c>
      <c r="W35" s="25"/>
      <c r="X35" s="25"/>
      <c r="Y35" s="25"/>
      <c r="Z35" s="25"/>
      <c r="AA35" s="26">
        <f>0</f>
        <v>0</v>
      </c>
      <c r="AB35" s="26"/>
      <c r="AC35" s="26"/>
    </row>
    <row r="36" spans="1:29" s="1" customFormat="1" ht="45" customHeight="1">
      <c r="A36" s="23" t="s">
        <v>75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36</v>
      </c>
      <c r="N36" s="24"/>
      <c r="O36" s="24"/>
      <c r="P36" s="24" t="s">
        <v>76</v>
      </c>
      <c r="Q36" s="24"/>
      <c r="R36" s="24"/>
      <c r="S36" s="25">
        <f>32000</f>
        <v>32000</v>
      </c>
      <c r="T36" s="25"/>
      <c r="U36" s="25"/>
      <c r="V36" s="27" t="s">
        <v>48</v>
      </c>
      <c r="W36" s="27"/>
      <c r="X36" s="27"/>
      <c r="Y36" s="27"/>
      <c r="Z36" s="27"/>
      <c r="AA36" s="26">
        <f>32000</f>
        <v>32000</v>
      </c>
      <c r="AB36" s="26"/>
      <c r="AC36" s="26"/>
    </row>
    <row r="37" spans="1:29" s="1" customFormat="1" ht="45" customHeight="1">
      <c r="A37" s="23" t="s">
        <v>75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36</v>
      </c>
      <c r="N37" s="24"/>
      <c r="O37" s="24"/>
      <c r="P37" s="24" t="s">
        <v>77</v>
      </c>
      <c r="Q37" s="24"/>
      <c r="R37" s="24"/>
      <c r="S37" s="27" t="s">
        <v>48</v>
      </c>
      <c r="T37" s="27"/>
      <c r="U37" s="27"/>
      <c r="V37" s="25">
        <f>3940</f>
        <v>3940</v>
      </c>
      <c r="W37" s="25"/>
      <c r="X37" s="25"/>
      <c r="Y37" s="25"/>
      <c r="Z37" s="25"/>
      <c r="AA37" s="26">
        <f>0</f>
        <v>0</v>
      </c>
      <c r="AB37" s="26"/>
      <c r="AC37" s="26"/>
    </row>
    <row r="38" spans="1:29" s="1" customFormat="1" ht="24" customHeight="1">
      <c r="A38" s="23" t="s">
        <v>78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36</v>
      </c>
      <c r="N38" s="24"/>
      <c r="O38" s="24"/>
      <c r="P38" s="24" t="s">
        <v>79</v>
      </c>
      <c r="Q38" s="24"/>
      <c r="R38" s="24"/>
      <c r="S38" s="25">
        <f>240000</f>
        <v>240000</v>
      </c>
      <c r="T38" s="25"/>
      <c r="U38" s="25"/>
      <c r="V38" s="25">
        <f>73800.74</f>
        <v>73800.74</v>
      </c>
      <c r="W38" s="25"/>
      <c r="X38" s="25"/>
      <c r="Y38" s="25"/>
      <c r="Z38" s="25"/>
      <c r="AA38" s="26">
        <f>166199.26</f>
        <v>166199.26</v>
      </c>
      <c r="AB38" s="26"/>
      <c r="AC38" s="26"/>
    </row>
    <row r="39" spans="1:29" s="1" customFormat="1" ht="45" customHeight="1">
      <c r="A39" s="23" t="s">
        <v>80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36</v>
      </c>
      <c r="N39" s="24"/>
      <c r="O39" s="24"/>
      <c r="P39" s="24" t="s">
        <v>81</v>
      </c>
      <c r="Q39" s="24"/>
      <c r="R39" s="24"/>
      <c r="S39" s="25">
        <f>80000</f>
        <v>80000</v>
      </c>
      <c r="T39" s="25"/>
      <c r="U39" s="25"/>
      <c r="V39" s="25">
        <f>6460.82</f>
        <v>6460.82</v>
      </c>
      <c r="W39" s="25"/>
      <c r="X39" s="25"/>
      <c r="Y39" s="25"/>
      <c r="Z39" s="25"/>
      <c r="AA39" s="26">
        <f>73539.18</f>
        <v>73539.18</v>
      </c>
      <c r="AB39" s="26"/>
      <c r="AC39" s="26"/>
    </row>
    <row r="40" spans="1:29" s="1" customFormat="1" ht="13.5" customHeight="1">
      <c r="A40" s="23" t="s">
        <v>82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 t="s">
        <v>36</v>
      </c>
      <c r="N40" s="24"/>
      <c r="O40" s="24"/>
      <c r="P40" s="24" t="s">
        <v>83</v>
      </c>
      <c r="Q40" s="24"/>
      <c r="R40" s="24"/>
      <c r="S40" s="25">
        <f>2000000</f>
        <v>2000000</v>
      </c>
      <c r="T40" s="25"/>
      <c r="U40" s="25"/>
      <c r="V40" s="25">
        <f>564271</f>
        <v>564271</v>
      </c>
      <c r="W40" s="25"/>
      <c r="X40" s="25"/>
      <c r="Y40" s="25"/>
      <c r="Z40" s="25"/>
      <c r="AA40" s="26">
        <f>1435729</f>
        <v>1435729</v>
      </c>
      <c r="AB40" s="26"/>
      <c r="AC40" s="26"/>
    </row>
    <row r="41" spans="1:29" s="1" customFormat="1" ht="24" customHeight="1">
      <c r="A41" s="23" t="s">
        <v>84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 t="s">
        <v>36</v>
      </c>
      <c r="N41" s="24"/>
      <c r="O41" s="24"/>
      <c r="P41" s="24" t="s">
        <v>85</v>
      </c>
      <c r="Q41" s="24"/>
      <c r="R41" s="24"/>
      <c r="S41" s="25">
        <f>3393800</f>
        <v>3393800</v>
      </c>
      <c r="T41" s="25"/>
      <c r="U41" s="25"/>
      <c r="V41" s="25">
        <f>1129880</f>
        <v>1129880</v>
      </c>
      <c r="W41" s="25"/>
      <c r="X41" s="25"/>
      <c r="Y41" s="25"/>
      <c r="Z41" s="25"/>
      <c r="AA41" s="26">
        <f>2263920</f>
        <v>2263920</v>
      </c>
      <c r="AB41" s="26"/>
      <c r="AC41" s="26"/>
    </row>
    <row r="42" spans="1:29" s="1" customFormat="1" ht="24" customHeight="1">
      <c r="A42" s="23" t="s">
        <v>86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 t="s">
        <v>36</v>
      </c>
      <c r="N42" s="24"/>
      <c r="O42" s="24"/>
      <c r="P42" s="24" t="s">
        <v>87</v>
      </c>
      <c r="Q42" s="24"/>
      <c r="R42" s="24"/>
      <c r="S42" s="25">
        <f>8136900</f>
        <v>8136900</v>
      </c>
      <c r="T42" s="25"/>
      <c r="U42" s="25"/>
      <c r="V42" s="25">
        <f>3797220</f>
        <v>3797220</v>
      </c>
      <c r="W42" s="25"/>
      <c r="X42" s="25"/>
      <c r="Y42" s="25"/>
      <c r="Z42" s="25"/>
      <c r="AA42" s="26">
        <f>4339680</f>
        <v>4339680</v>
      </c>
      <c r="AB42" s="26"/>
      <c r="AC42" s="26"/>
    </row>
    <row r="43" spans="1:29" s="1" customFormat="1" ht="24" customHeight="1">
      <c r="A43" s="23" t="s">
        <v>88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4" t="s">
        <v>36</v>
      </c>
      <c r="N43" s="24"/>
      <c r="O43" s="24"/>
      <c r="P43" s="24" t="s">
        <v>89</v>
      </c>
      <c r="Q43" s="24"/>
      <c r="R43" s="24"/>
      <c r="S43" s="25">
        <f>80000</f>
        <v>80000</v>
      </c>
      <c r="T43" s="25"/>
      <c r="U43" s="25"/>
      <c r="V43" s="25">
        <f>48900</f>
        <v>48900</v>
      </c>
      <c r="W43" s="25"/>
      <c r="X43" s="25"/>
      <c r="Y43" s="25"/>
      <c r="Z43" s="25"/>
      <c r="AA43" s="26">
        <f>31100</f>
        <v>31100</v>
      </c>
      <c r="AB43" s="26"/>
      <c r="AC43" s="26"/>
    </row>
    <row r="44" spans="1:29" s="1" customFormat="1" ht="24" customHeight="1">
      <c r="A44" s="23" t="s">
        <v>90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 t="s">
        <v>36</v>
      </c>
      <c r="N44" s="24"/>
      <c r="O44" s="24"/>
      <c r="P44" s="24" t="s">
        <v>91</v>
      </c>
      <c r="Q44" s="24"/>
      <c r="R44" s="24"/>
      <c r="S44" s="25">
        <f>13659298</f>
        <v>13659298</v>
      </c>
      <c r="T44" s="25"/>
      <c r="U44" s="25"/>
      <c r="V44" s="25">
        <f>13390698</f>
        <v>13390698</v>
      </c>
      <c r="W44" s="25"/>
      <c r="X44" s="25"/>
      <c r="Y44" s="25"/>
      <c r="Z44" s="25"/>
      <c r="AA44" s="26">
        <f>268600</f>
        <v>268600</v>
      </c>
      <c r="AB44" s="26"/>
      <c r="AC44" s="26"/>
    </row>
    <row r="45" spans="1:29" s="1" customFormat="1" ht="13.5" customHeight="1">
      <c r="A45" s="28" t="s">
        <v>11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s="1" customFormat="1" ht="13.5" customHeight="1">
      <c r="A46" s="12" t="s">
        <v>92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1" customFormat="1" ht="34.5" customHeight="1">
      <c r="A47" s="13" t="s">
        <v>23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 t="s">
        <v>24</v>
      </c>
      <c r="M47" s="13"/>
      <c r="N47" s="13"/>
      <c r="O47" s="13" t="s">
        <v>93</v>
      </c>
      <c r="P47" s="13"/>
      <c r="Q47" s="13"/>
      <c r="R47" s="14" t="s">
        <v>94</v>
      </c>
      <c r="S47" s="14"/>
      <c r="T47" s="14" t="s">
        <v>26</v>
      </c>
      <c r="U47" s="14"/>
      <c r="V47" s="14"/>
      <c r="W47" s="14" t="s">
        <v>27</v>
      </c>
      <c r="X47" s="14"/>
      <c r="Y47" s="14"/>
      <c r="Z47" s="14"/>
      <c r="AA47" s="14"/>
      <c r="AB47" s="15" t="s">
        <v>28</v>
      </c>
      <c r="AC47" s="15"/>
    </row>
    <row r="48" spans="1:29" s="1" customFormat="1" ht="13.5" customHeight="1">
      <c r="A48" s="16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 t="s">
        <v>30</v>
      </c>
      <c r="M48" s="16"/>
      <c r="N48" s="16"/>
      <c r="O48" s="16" t="s">
        <v>31</v>
      </c>
      <c r="P48" s="16"/>
      <c r="Q48" s="16"/>
      <c r="R48" s="17" t="s">
        <v>32</v>
      </c>
      <c r="S48" s="17"/>
      <c r="T48" s="17" t="s">
        <v>33</v>
      </c>
      <c r="U48" s="17"/>
      <c r="V48" s="17"/>
      <c r="W48" s="17" t="s">
        <v>34</v>
      </c>
      <c r="X48" s="17"/>
      <c r="Y48" s="17"/>
      <c r="Z48" s="17"/>
      <c r="AA48" s="17"/>
      <c r="AB48" s="18" t="s">
        <v>95</v>
      </c>
      <c r="AC48" s="18"/>
    </row>
    <row r="49" spans="1:29" s="1" customFormat="1" ht="13.5" customHeight="1">
      <c r="A49" s="19" t="s">
        <v>96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0" t="s">
        <v>97</v>
      </c>
      <c r="M49" s="20"/>
      <c r="N49" s="20"/>
      <c r="O49" s="20" t="s">
        <v>37</v>
      </c>
      <c r="P49" s="20"/>
      <c r="Q49" s="20"/>
      <c r="R49" s="32" t="s">
        <v>37</v>
      </c>
      <c r="S49" s="32"/>
      <c r="T49" s="21">
        <f>64339068.31</f>
        <v>64339068.31</v>
      </c>
      <c r="U49" s="21"/>
      <c r="V49" s="21"/>
      <c r="W49" s="21">
        <v>29315946.74</v>
      </c>
      <c r="X49" s="21"/>
      <c r="Y49" s="21"/>
      <c r="Z49" s="21"/>
      <c r="AA49" s="21"/>
      <c r="AB49" s="22">
        <v>35023121.57</v>
      </c>
      <c r="AC49" s="22"/>
    </row>
    <row r="50" spans="1:29" s="1" customFormat="1" ht="13.5" customHeight="1">
      <c r="A50" s="34" t="s">
        <v>98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9" t="s">
        <v>97</v>
      </c>
      <c r="M50" s="29"/>
      <c r="N50" s="29"/>
      <c r="O50" s="29" t="s">
        <v>99</v>
      </c>
      <c r="P50" s="29"/>
      <c r="Q50" s="29"/>
      <c r="R50" s="30" t="s">
        <v>100</v>
      </c>
      <c r="S50" s="30"/>
      <c r="T50" s="31">
        <f>900000</f>
        <v>900000</v>
      </c>
      <c r="U50" s="31"/>
      <c r="V50" s="31"/>
      <c r="W50" s="31">
        <v>400578.76</v>
      </c>
      <c r="X50" s="31"/>
      <c r="Y50" s="31"/>
      <c r="Z50" s="31"/>
      <c r="AA50" s="31"/>
      <c r="AB50" s="33">
        <f>515376.18</f>
        <v>515376.18</v>
      </c>
      <c r="AC50" s="33"/>
    </row>
    <row r="51" spans="1:29" s="1" customFormat="1" ht="13.5" customHeight="1">
      <c r="A51" s="34" t="s">
        <v>101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9" t="s">
        <v>97</v>
      </c>
      <c r="M51" s="29"/>
      <c r="N51" s="29"/>
      <c r="O51" s="29" t="s">
        <v>102</v>
      </c>
      <c r="P51" s="29"/>
      <c r="Q51" s="29"/>
      <c r="R51" s="30" t="s">
        <v>103</v>
      </c>
      <c r="S51" s="30"/>
      <c r="T51" s="31">
        <f>300000</f>
        <v>300000</v>
      </c>
      <c r="U51" s="31"/>
      <c r="V51" s="31"/>
      <c r="W51" s="31">
        <f>86079.74</f>
        <v>86079.74</v>
      </c>
      <c r="X51" s="31"/>
      <c r="Y51" s="31"/>
      <c r="Z51" s="31"/>
      <c r="AA51" s="31"/>
      <c r="AB51" s="33">
        <f>213920.26</f>
        <v>213920.26</v>
      </c>
      <c r="AC51" s="33"/>
    </row>
    <row r="52" spans="1:29" s="1" customFormat="1" ht="13.5" customHeight="1">
      <c r="A52" s="34" t="s">
        <v>104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9" t="s">
        <v>97</v>
      </c>
      <c r="M52" s="29"/>
      <c r="N52" s="29"/>
      <c r="O52" s="29" t="s">
        <v>105</v>
      </c>
      <c r="P52" s="29"/>
      <c r="Q52" s="29"/>
      <c r="R52" s="30" t="s">
        <v>106</v>
      </c>
      <c r="S52" s="30"/>
      <c r="T52" s="31">
        <f>50000</f>
        <v>50000</v>
      </c>
      <c r="U52" s="31"/>
      <c r="V52" s="31"/>
      <c r="W52" s="35" t="s">
        <v>48</v>
      </c>
      <c r="X52" s="35"/>
      <c r="Y52" s="35"/>
      <c r="Z52" s="35"/>
      <c r="AA52" s="35"/>
      <c r="AB52" s="33">
        <f>50000</f>
        <v>50000</v>
      </c>
      <c r="AC52" s="33"/>
    </row>
    <row r="53" spans="1:29" s="1" customFormat="1" ht="13.5" customHeight="1">
      <c r="A53" s="34" t="s">
        <v>98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9" t="s">
        <v>97</v>
      </c>
      <c r="M53" s="29"/>
      <c r="N53" s="29"/>
      <c r="O53" s="29" t="s">
        <v>107</v>
      </c>
      <c r="P53" s="29"/>
      <c r="Q53" s="29"/>
      <c r="R53" s="30" t="s">
        <v>100</v>
      </c>
      <c r="S53" s="30"/>
      <c r="T53" s="31">
        <f>3100000</f>
        <v>3100000</v>
      </c>
      <c r="U53" s="31"/>
      <c r="V53" s="31"/>
      <c r="W53" s="31">
        <v>1675715.02</v>
      </c>
      <c r="X53" s="31"/>
      <c r="Y53" s="31"/>
      <c r="Z53" s="31"/>
      <c r="AA53" s="31"/>
      <c r="AB53" s="33">
        <v>1408330.04</v>
      </c>
      <c r="AC53" s="33"/>
    </row>
    <row r="54" spans="1:29" s="1" customFormat="1" ht="13.5" customHeight="1">
      <c r="A54" s="34" t="s">
        <v>104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9" t="s">
        <v>97</v>
      </c>
      <c r="M54" s="29"/>
      <c r="N54" s="29"/>
      <c r="O54" s="29" t="s">
        <v>108</v>
      </c>
      <c r="P54" s="29"/>
      <c r="Q54" s="29"/>
      <c r="R54" s="30" t="s">
        <v>106</v>
      </c>
      <c r="S54" s="30"/>
      <c r="T54" s="31">
        <f>100000</f>
        <v>100000</v>
      </c>
      <c r="U54" s="31"/>
      <c r="V54" s="31"/>
      <c r="W54" s="35" t="s">
        <v>48</v>
      </c>
      <c r="X54" s="35"/>
      <c r="Y54" s="35"/>
      <c r="Z54" s="35"/>
      <c r="AA54" s="35"/>
      <c r="AB54" s="33">
        <f>100000</f>
        <v>100000</v>
      </c>
      <c r="AC54" s="33"/>
    </row>
    <row r="55" spans="1:29" s="1" customFormat="1" ht="13.5" customHeight="1">
      <c r="A55" s="34" t="s">
        <v>101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9" t="s">
        <v>97</v>
      </c>
      <c r="M55" s="29"/>
      <c r="N55" s="29"/>
      <c r="O55" s="29" t="s">
        <v>109</v>
      </c>
      <c r="P55" s="29"/>
      <c r="Q55" s="29"/>
      <c r="R55" s="30" t="s">
        <v>103</v>
      </c>
      <c r="S55" s="30"/>
      <c r="T55" s="31">
        <f>1350000</f>
        <v>1350000</v>
      </c>
      <c r="U55" s="31"/>
      <c r="V55" s="31"/>
      <c r="W55" s="31">
        <f>517898.61</f>
        <v>517898.61</v>
      </c>
      <c r="X55" s="31"/>
      <c r="Y55" s="31"/>
      <c r="Z55" s="31"/>
      <c r="AA55" s="31"/>
      <c r="AB55" s="33">
        <f>832101.39</f>
        <v>832101.39</v>
      </c>
      <c r="AC55" s="33"/>
    </row>
    <row r="56" spans="1:29" s="1" customFormat="1" ht="13.5" customHeight="1">
      <c r="A56" s="34" t="s">
        <v>110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9" t="s">
        <v>97</v>
      </c>
      <c r="M56" s="29"/>
      <c r="N56" s="29"/>
      <c r="O56" s="29" t="s">
        <v>111</v>
      </c>
      <c r="P56" s="29"/>
      <c r="Q56" s="29"/>
      <c r="R56" s="30" t="s">
        <v>112</v>
      </c>
      <c r="S56" s="30"/>
      <c r="T56" s="31">
        <f>50000</f>
        <v>50000</v>
      </c>
      <c r="U56" s="31"/>
      <c r="V56" s="31"/>
      <c r="W56" s="35" t="s">
        <v>48</v>
      </c>
      <c r="X56" s="35"/>
      <c r="Y56" s="35"/>
      <c r="Z56" s="35"/>
      <c r="AA56" s="35"/>
      <c r="AB56" s="33">
        <f>50000</f>
        <v>50000</v>
      </c>
      <c r="AC56" s="33"/>
    </row>
    <row r="57" spans="1:29" s="1" customFormat="1" ht="13.5" customHeight="1">
      <c r="A57" s="34" t="s">
        <v>113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9" t="s">
        <v>97</v>
      </c>
      <c r="M57" s="29"/>
      <c r="N57" s="29"/>
      <c r="O57" s="29" t="s">
        <v>114</v>
      </c>
      <c r="P57" s="29"/>
      <c r="Q57" s="29"/>
      <c r="R57" s="30" t="s">
        <v>115</v>
      </c>
      <c r="S57" s="30"/>
      <c r="T57" s="31">
        <f>12500000</f>
        <v>12500000</v>
      </c>
      <c r="U57" s="31"/>
      <c r="V57" s="31"/>
      <c r="W57" s="35" t="s">
        <v>48</v>
      </c>
      <c r="X57" s="35"/>
      <c r="Y57" s="35"/>
      <c r="Z57" s="35"/>
      <c r="AA57" s="35"/>
      <c r="AB57" s="33">
        <f>12500000</f>
        <v>12500000</v>
      </c>
      <c r="AC57" s="33"/>
    </row>
    <row r="58" spans="1:29" s="1" customFormat="1" ht="13.5" customHeight="1">
      <c r="A58" s="34" t="s">
        <v>116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9" t="s">
        <v>97</v>
      </c>
      <c r="M58" s="29"/>
      <c r="N58" s="29"/>
      <c r="O58" s="29" t="s">
        <v>117</v>
      </c>
      <c r="P58" s="29"/>
      <c r="Q58" s="29"/>
      <c r="R58" s="30" t="s">
        <v>118</v>
      </c>
      <c r="S58" s="30"/>
      <c r="T58" s="31">
        <f>167700</f>
        <v>167700</v>
      </c>
      <c r="U58" s="31"/>
      <c r="V58" s="31"/>
      <c r="W58" s="35" t="s">
        <v>48</v>
      </c>
      <c r="X58" s="35"/>
      <c r="Y58" s="35"/>
      <c r="Z58" s="35"/>
      <c r="AA58" s="35"/>
      <c r="AB58" s="33">
        <f>167700</f>
        <v>167700</v>
      </c>
      <c r="AC58" s="33"/>
    </row>
    <row r="59" spans="1:29" s="1" customFormat="1" ht="13.5" customHeight="1">
      <c r="A59" s="34" t="s">
        <v>98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9" t="s">
        <v>97</v>
      </c>
      <c r="M59" s="29"/>
      <c r="N59" s="29"/>
      <c r="O59" s="29" t="s">
        <v>119</v>
      </c>
      <c r="P59" s="29"/>
      <c r="Q59" s="29"/>
      <c r="R59" s="30" t="s">
        <v>100</v>
      </c>
      <c r="S59" s="30"/>
      <c r="T59" s="31">
        <f>2800000</f>
        <v>2800000</v>
      </c>
      <c r="U59" s="31"/>
      <c r="V59" s="31"/>
      <c r="W59" s="31">
        <f>1183678.95</f>
        <v>1183678.95</v>
      </c>
      <c r="X59" s="31"/>
      <c r="Y59" s="31"/>
      <c r="Z59" s="31"/>
      <c r="AA59" s="31"/>
      <c r="AB59" s="33">
        <f>1616321.05</f>
        <v>1616321.05</v>
      </c>
      <c r="AC59" s="33"/>
    </row>
    <row r="60" spans="1:29" s="1" customFormat="1" ht="13.5" customHeight="1">
      <c r="A60" s="34" t="s">
        <v>104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9" t="s">
        <v>97</v>
      </c>
      <c r="M60" s="29"/>
      <c r="N60" s="29"/>
      <c r="O60" s="29" t="s">
        <v>120</v>
      </c>
      <c r="P60" s="29"/>
      <c r="Q60" s="29"/>
      <c r="R60" s="30" t="s">
        <v>106</v>
      </c>
      <c r="S60" s="30"/>
      <c r="T60" s="31">
        <f>100000</f>
        <v>100000</v>
      </c>
      <c r="U60" s="31"/>
      <c r="V60" s="31"/>
      <c r="W60" s="31">
        <f>11700</f>
        <v>11700</v>
      </c>
      <c r="X60" s="31"/>
      <c r="Y60" s="31"/>
      <c r="Z60" s="31"/>
      <c r="AA60" s="31"/>
      <c r="AB60" s="33">
        <f>88300</f>
        <v>88300</v>
      </c>
      <c r="AC60" s="33"/>
    </row>
    <row r="61" spans="1:29" s="1" customFormat="1" ht="13.5" customHeight="1">
      <c r="A61" s="34" t="s">
        <v>101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29" t="s">
        <v>97</v>
      </c>
      <c r="M61" s="29"/>
      <c r="N61" s="29"/>
      <c r="O61" s="29" t="s">
        <v>121</v>
      </c>
      <c r="P61" s="29"/>
      <c r="Q61" s="29"/>
      <c r="R61" s="30" t="s">
        <v>103</v>
      </c>
      <c r="S61" s="30"/>
      <c r="T61" s="31">
        <f>1100000</f>
        <v>1100000</v>
      </c>
      <c r="U61" s="31"/>
      <c r="V61" s="31"/>
      <c r="W61" s="31">
        <f>326605.95</f>
        <v>326605.95</v>
      </c>
      <c r="X61" s="31"/>
      <c r="Y61" s="31"/>
      <c r="Z61" s="31"/>
      <c r="AA61" s="31"/>
      <c r="AB61" s="33">
        <f>773394.05</f>
        <v>773394.05</v>
      </c>
      <c r="AC61" s="33"/>
    </row>
    <row r="62" spans="1:29" s="1" customFormat="1" ht="13.5" customHeight="1">
      <c r="A62" s="34" t="s">
        <v>122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29" t="s">
        <v>97</v>
      </c>
      <c r="M62" s="29"/>
      <c r="N62" s="29"/>
      <c r="O62" s="29" t="s">
        <v>123</v>
      </c>
      <c r="P62" s="29"/>
      <c r="Q62" s="29"/>
      <c r="R62" s="30" t="s">
        <v>124</v>
      </c>
      <c r="S62" s="30"/>
      <c r="T62" s="31">
        <f>10000</f>
        <v>10000</v>
      </c>
      <c r="U62" s="31"/>
      <c r="V62" s="31"/>
      <c r="W62" s="31">
        <f>10000</f>
        <v>10000</v>
      </c>
      <c r="X62" s="31"/>
      <c r="Y62" s="31"/>
      <c r="Z62" s="31"/>
      <c r="AA62" s="31"/>
      <c r="AB62" s="33">
        <f>0</f>
        <v>0</v>
      </c>
      <c r="AC62" s="33"/>
    </row>
    <row r="63" spans="1:29" s="1" customFormat="1" ht="13.5" customHeight="1">
      <c r="A63" s="34" t="s">
        <v>125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29" t="s">
        <v>97</v>
      </c>
      <c r="M63" s="29"/>
      <c r="N63" s="29"/>
      <c r="O63" s="29" t="s">
        <v>123</v>
      </c>
      <c r="P63" s="29"/>
      <c r="Q63" s="29"/>
      <c r="R63" s="30" t="s">
        <v>126</v>
      </c>
      <c r="S63" s="30"/>
      <c r="T63" s="31">
        <f>179400</f>
        <v>179400</v>
      </c>
      <c r="U63" s="31"/>
      <c r="V63" s="31"/>
      <c r="W63" s="31">
        <f>85331.54</f>
        <v>85331.54</v>
      </c>
      <c r="X63" s="31"/>
      <c r="Y63" s="31"/>
      <c r="Z63" s="31"/>
      <c r="AA63" s="31"/>
      <c r="AB63" s="33">
        <f>94068.46</f>
        <v>94068.46</v>
      </c>
      <c r="AC63" s="33"/>
    </row>
    <row r="64" spans="1:29" s="1" customFormat="1" ht="13.5" customHeight="1">
      <c r="A64" s="34" t="s">
        <v>127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29" t="s">
        <v>97</v>
      </c>
      <c r="M64" s="29"/>
      <c r="N64" s="29"/>
      <c r="O64" s="29" t="s">
        <v>123</v>
      </c>
      <c r="P64" s="29"/>
      <c r="Q64" s="29"/>
      <c r="R64" s="30" t="s">
        <v>128</v>
      </c>
      <c r="S64" s="30"/>
      <c r="T64" s="31">
        <f>450000</f>
        <v>450000</v>
      </c>
      <c r="U64" s="31"/>
      <c r="V64" s="31"/>
      <c r="W64" s="31">
        <f>31800.39</f>
        <v>31800.39</v>
      </c>
      <c r="X64" s="31"/>
      <c r="Y64" s="31"/>
      <c r="Z64" s="31"/>
      <c r="AA64" s="31"/>
      <c r="AB64" s="33">
        <f>418199.61</f>
        <v>418199.61</v>
      </c>
      <c r="AC64" s="33"/>
    </row>
    <row r="65" spans="1:29" s="1" customFormat="1" ht="13.5" customHeight="1">
      <c r="A65" s="34" t="s">
        <v>116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29" t="s">
        <v>97</v>
      </c>
      <c r="M65" s="29"/>
      <c r="N65" s="29"/>
      <c r="O65" s="29" t="s">
        <v>123</v>
      </c>
      <c r="P65" s="29"/>
      <c r="Q65" s="29"/>
      <c r="R65" s="30" t="s">
        <v>118</v>
      </c>
      <c r="S65" s="30"/>
      <c r="T65" s="31">
        <f>220600</f>
        <v>220600</v>
      </c>
      <c r="U65" s="31"/>
      <c r="V65" s="31"/>
      <c r="W65" s="31">
        <f>76709.6</f>
        <v>76709.6</v>
      </c>
      <c r="X65" s="31"/>
      <c r="Y65" s="31"/>
      <c r="Z65" s="31"/>
      <c r="AA65" s="31"/>
      <c r="AB65" s="33">
        <f>143890.4</f>
        <v>143890.4</v>
      </c>
      <c r="AC65" s="33"/>
    </row>
    <row r="66" spans="1:29" s="1" customFormat="1" ht="13.5" customHeight="1">
      <c r="A66" s="34" t="s">
        <v>110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29" t="s">
        <v>97</v>
      </c>
      <c r="M66" s="29"/>
      <c r="N66" s="29"/>
      <c r="O66" s="29" t="s">
        <v>123</v>
      </c>
      <c r="P66" s="29"/>
      <c r="Q66" s="29"/>
      <c r="R66" s="30" t="s">
        <v>112</v>
      </c>
      <c r="S66" s="30"/>
      <c r="T66" s="31">
        <f>20000</f>
        <v>20000</v>
      </c>
      <c r="U66" s="31"/>
      <c r="V66" s="31"/>
      <c r="W66" s="31">
        <f>20000</f>
        <v>20000</v>
      </c>
      <c r="X66" s="31"/>
      <c r="Y66" s="31"/>
      <c r="Z66" s="31"/>
      <c r="AA66" s="31"/>
      <c r="AB66" s="33">
        <f>0</f>
        <v>0</v>
      </c>
      <c r="AC66" s="33"/>
    </row>
    <row r="67" spans="1:29" s="1" customFormat="1" ht="13.5" customHeight="1">
      <c r="A67" s="34" t="s">
        <v>113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29" t="s">
        <v>97</v>
      </c>
      <c r="M67" s="29"/>
      <c r="N67" s="29"/>
      <c r="O67" s="29" t="s">
        <v>123</v>
      </c>
      <c r="P67" s="29"/>
      <c r="Q67" s="29"/>
      <c r="R67" s="30" t="s">
        <v>115</v>
      </c>
      <c r="S67" s="30"/>
      <c r="T67" s="31">
        <f>820000</f>
        <v>820000</v>
      </c>
      <c r="U67" s="31"/>
      <c r="V67" s="31"/>
      <c r="W67" s="35" t="s">
        <v>48</v>
      </c>
      <c r="X67" s="35"/>
      <c r="Y67" s="35"/>
      <c r="Z67" s="35"/>
      <c r="AA67" s="35"/>
      <c r="AB67" s="33">
        <f>820000</f>
        <v>820000</v>
      </c>
      <c r="AC67" s="33"/>
    </row>
    <row r="68" spans="1:29" s="1" customFormat="1" ht="13.5" customHeight="1">
      <c r="A68" s="34" t="s">
        <v>129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29" t="s">
        <v>97</v>
      </c>
      <c r="M68" s="29"/>
      <c r="N68" s="29"/>
      <c r="O68" s="29" t="s">
        <v>123</v>
      </c>
      <c r="P68" s="29"/>
      <c r="Q68" s="29"/>
      <c r="R68" s="30" t="s">
        <v>130</v>
      </c>
      <c r="S68" s="30"/>
      <c r="T68" s="31">
        <f>680000</f>
        <v>680000</v>
      </c>
      <c r="U68" s="31"/>
      <c r="V68" s="31"/>
      <c r="W68" s="31">
        <f>198857.1</f>
        <v>198857.1</v>
      </c>
      <c r="X68" s="31"/>
      <c r="Y68" s="31"/>
      <c r="Z68" s="31"/>
      <c r="AA68" s="31"/>
      <c r="AB68" s="33">
        <f>481142.9</f>
        <v>481142.9</v>
      </c>
      <c r="AC68" s="33"/>
    </row>
    <row r="69" spans="1:29" s="1" customFormat="1" ht="13.5" customHeight="1">
      <c r="A69" s="34" t="s">
        <v>110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29" t="s">
        <v>97</v>
      </c>
      <c r="M69" s="29"/>
      <c r="N69" s="29"/>
      <c r="O69" s="29" t="s">
        <v>131</v>
      </c>
      <c r="P69" s="29"/>
      <c r="Q69" s="29"/>
      <c r="R69" s="30" t="s">
        <v>112</v>
      </c>
      <c r="S69" s="30"/>
      <c r="T69" s="31">
        <f>30000</f>
        <v>30000</v>
      </c>
      <c r="U69" s="31"/>
      <c r="V69" s="31"/>
      <c r="W69" s="31">
        <f>1309</f>
        <v>1309</v>
      </c>
      <c r="X69" s="31"/>
      <c r="Y69" s="31"/>
      <c r="Z69" s="31"/>
      <c r="AA69" s="31"/>
      <c r="AB69" s="33">
        <f>28691</f>
        <v>28691</v>
      </c>
      <c r="AC69" s="33"/>
    </row>
    <row r="70" spans="1:29" s="1" customFormat="1" ht="13.5" customHeight="1">
      <c r="A70" s="34" t="s">
        <v>110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29" t="s">
        <v>97</v>
      </c>
      <c r="M70" s="29"/>
      <c r="N70" s="29"/>
      <c r="O70" s="29" t="s">
        <v>132</v>
      </c>
      <c r="P70" s="29"/>
      <c r="Q70" s="29"/>
      <c r="R70" s="30" t="s">
        <v>112</v>
      </c>
      <c r="S70" s="30"/>
      <c r="T70" s="31">
        <f>10000</f>
        <v>10000</v>
      </c>
      <c r="U70" s="31"/>
      <c r="V70" s="31"/>
      <c r="W70" s="35" t="s">
        <v>48</v>
      </c>
      <c r="X70" s="35"/>
      <c r="Y70" s="35"/>
      <c r="Z70" s="35"/>
      <c r="AA70" s="35"/>
      <c r="AB70" s="33">
        <f>10000</f>
        <v>10000</v>
      </c>
      <c r="AC70" s="33"/>
    </row>
    <row r="71" spans="1:29" s="1" customFormat="1" ht="13.5" customHeight="1">
      <c r="A71" s="34" t="s">
        <v>110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29" t="s">
        <v>97</v>
      </c>
      <c r="M71" s="29"/>
      <c r="N71" s="29"/>
      <c r="O71" s="29" t="s">
        <v>133</v>
      </c>
      <c r="P71" s="29"/>
      <c r="Q71" s="29"/>
      <c r="R71" s="30" t="s">
        <v>112</v>
      </c>
      <c r="S71" s="30"/>
      <c r="T71" s="31">
        <f>15000</f>
        <v>15000</v>
      </c>
      <c r="U71" s="31"/>
      <c r="V71" s="31"/>
      <c r="W71" s="31">
        <f>15000</f>
        <v>15000</v>
      </c>
      <c r="X71" s="31"/>
      <c r="Y71" s="31"/>
      <c r="Z71" s="31"/>
      <c r="AA71" s="31"/>
      <c r="AB71" s="33">
        <f>0</f>
        <v>0</v>
      </c>
      <c r="AC71" s="33"/>
    </row>
    <row r="72" spans="1:29" s="1" customFormat="1" ht="13.5" customHeight="1">
      <c r="A72" s="34" t="s">
        <v>134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29" t="s">
        <v>97</v>
      </c>
      <c r="M72" s="29"/>
      <c r="N72" s="29"/>
      <c r="O72" s="29" t="s">
        <v>135</v>
      </c>
      <c r="P72" s="29"/>
      <c r="Q72" s="29"/>
      <c r="R72" s="30" t="s">
        <v>136</v>
      </c>
      <c r="S72" s="30"/>
      <c r="T72" s="31">
        <f>60000</f>
        <v>60000</v>
      </c>
      <c r="U72" s="31"/>
      <c r="V72" s="31"/>
      <c r="W72" s="31">
        <f>21268.2</f>
        <v>21268.2</v>
      </c>
      <c r="X72" s="31"/>
      <c r="Y72" s="31"/>
      <c r="Z72" s="31"/>
      <c r="AA72" s="31"/>
      <c r="AB72" s="33">
        <f>38731.8</f>
        <v>38731.8</v>
      </c>
      <c r="AC72" s="33"/>
    </row>
    <row r="73" spans="1:29" s="1" customFormat="1" ht="13.5" customHeight="1">
      <c r="A73" s="34" t="s">
        <v>116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29" t="s">
        <v>97</v>
      </c>
      <c r="M73" s="29"/>
      <c r="N73" s="29"/>
      <c r="O73" s="29" t="s">
        <v>135</v>
      </c>
      <c r="P73" s="29"/>
      <c r="Q73" s="29"/>
      <c r="R73" s="30" t="s">
        <v>118</v>
      </c>
      <c r="S73" s="30"/>
      <c r="T73" s="31">
        <f>125000</f>
        <v>125000</v>
      </c>
      <c r="U73" s="31"/>
      <c r="V73" s="31"/>
      <c r="W73" s="31">
        <f>114514.7</f>
        <v>114514.7</v>
      </c>
      <c r="X73" s="31"/>
      <c r="Y73" s="31"/>
      <c r="Z73" s="31"/>
      <c r="AA73" s="31"/>
      <c r="AB73" s="33">
        <f>10485.3</f>
        <v>10485.3</v>
      </c>
      <c r="AC73" s="33"/>
    </row>
    <row r="74" spans="1:29" s="1" customFormat="1" ht="13.5" customHeight="1">
      <c r="A74" s="34" t="s">
        <v>110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29" t="s">
        <v>97</v>
      </c>
      <c r="M74" s="29"/>
      <c r="N74" s="29"/>
      <c r="O74" s="29" t="s">
        <v>137</v>
      </c>
      <c r="P74" s="29"/>
      <c r="Q74" s="29"/>
      <c r="R74" s="30" t="s">
        <v>112</v>
      </c>
      <c r="S74" s="30"/>
      <c r="T74" s="31">
        <f>50000</f>
        <v>50000</v>
      </c>
      <c r="U74" s="31"/>
      <c r="V74" s="31"/>
      <c r="W74" s="31">
        <f>3406</f>
        <v>3406</v>
      </c>
      <c r="X74" s="31"/>
      <c r="Y74" s="31"/>
      <c r="Z74" s="31"/>
      <c r="AA74" s="31"/>
      <c r="AB74" s="33">
        <f>46594</f>
        <v>46594</v>
      </c>
      <c r="AC74" s="33"/>
    </row>
    <row r="75" spans="1:29" s="1" customFormat="1" ht="13.5" customHeight="1">
      <c r="A75" s="34" t="s">
        <v>110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29" t="s">
        <v>97</v>
      </c>
      <c r="M75" s="29"/>
      <c r="N75" s="29"/>
      <c r="O75" s="29" t="s">
        <v>138</v>
      </c>
      <c r="P75" s="29"/>
      <c r="Q75" s="29"/>
      <c r="R75" s="30" t="s">
        <v>112</v>
      </c>
      <c r="S75" s="30"/>
      <c r="T75" s="31">
        <f>35000</f>
        <v>35000</v>
      </c>
      <c r="U75" s="31"/>
      <c r="V75" s="31"/>
      <c r="W75" s="31">
        <f>9640</f>
        <v>9640</v>
      </c>
      <c r="X75" s="31"/>
      <c r="Y75" s="31"/>
      <c r="Z75" s="31"/>
      <c r="AA75" s="31"/>
      <c r="AB75" s="33">
        <f>25360</f>
        <v>25360</v>
      </c>
      <c r="AC75" s="33"/>
    </row>
    <row r="76" spans="1:29" s="1" customFormat="1" ht="13.5" customHeight="1">
      <c r="A76" s="34" t="s">
        <v>110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29" t="s">
        <v>97</v>
      </c>
      <c r="M76" s="29"/>
      <c r="N76" s="29"/>
      <c r="O76" s="29" t="s">
        <v>139</v>
      </c>
      <c r="P76" s="29"/>
      <c r="Q76" s="29"/>
      <c r="R76" s="30" t="s">
        <v>112</v>
      </c>
      <c r="S76" s="30"/>
      <c r="T76" s="31">
        <f>5000</f>
        <v>5000</v>
      </c>
      <c r="U76" s="31"/>
      <c r="V76" s="31"/>
      <c r="W76" s="31">
        <f>9.81</f>
        <v>9.81</v>
      </c>
      <c r="X76" s="31"/>
      <c r="Y76" s="31"/>
      <c r="Z76" s="31"/>
      <c r="AA76" s="31"/>
      <c r="AB76" s="33">
        <f>4990.19</f>
        <v>4990.19</v>
      </c>
      <c r="AC76" s="33"/>
    </row>
    <row r="77" spans="1:29" s="1" customFormat="1" ht="13.5" customHeight="1">
      <c r="A77" s="34" t="s">
        <v>98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29" t="s">
        <v>97</v>
      </c>
      <c r="M77" s="29"/>
      <c r="N77" s="29"/>
      <c r="O77" s="29" t="s">
        <v>140</v>
      </c>
      <c r="P77" s="29"/>
      <c r="Q77" s="29"/>
      <c r="R77" s="30" t="s">
        <v>100</v>
      </c>
      <c r="S77" s="30"/>
      <c r="T77" s="31">
        <f>60000</f>
        <v>60000</v>
      </c>
      <c r="U77" s="31"/>
      <c r="V77" s="31"/>
      <c r="W77" s="31">
        <f>10862.04</f>
        <v>10862.04</v>
      </c>
      <c r="X77" s="31"/>
      <c r="Y77" s="31"/>
      <c r="Z77" s="31"/>
      <c r="AA77" s="31"/>
      <c r="AB77" s="33">
        <f>49137.96</f>
        <v>49137.96</v>
      </c>
      <c r="AC77" s="33"/>
    </row>
    <row r="78" spans="1:29" s="1" customFormat="1" ht="13.5" customHeight="1">
      <c r="A78" s="34" t="s">
        <v>101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29" t="s">
        <v>97</v>
      </c>
      <c r="M78" s="29"/>
      <c r="N78" s="29"/>
      <c r="O78" s="29" t="s">
        <v>141</v>
      </c>
      <c r="P78" s="29"/>
      <c r="Q78" s="29"/>
      <c r="R78" s="30" t="s">
        <v>103</v>
      </c>
      <c r="S78" s="30"/>
      <c r="T78" s="31">
        <f>20000</f>
        <v>20000</v>
      </c>
      <c r="U78" s="31"/>
      <c r="V78" s="31"/>
      <c r="W78" s="31">
        <f>2965.33</f>
        <v>2965.33</v>
      </c>
      <c r="X78" s="31"/>
      <c r="Y78" s="31"/>
      <c r="Z78" s="31"/>
      <c r="AA78" s="31"/>
      <c r="AB78" s="33">
        <f>17034.67</f>
        <v>17034.67</v>
      </c>
      <c r="AC78" s="33"/>
    </row>
    <row r="79" spans="1:29" s="1" customFormat="1" ht="13.5" customHeight="1">
      <c r="A79" s="34" t="s">
        <v>127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29" t="s">
        <v>97</v>
      </c>
      <c r="M79" s="29"/>
      <c r="N79" s="29"/>
      <c r="O79" s="29" t="s">
        <v>142</v>
      </c>
      <c r="P79" s="29"/>
      <c r="Q79" s="29"/>
      <c r="R79" s="30" t="s">
        <v>128</v>
      </c>
      <c r="S79" s="30"/>
      <c r="T79" s="31">
        <f>13869.9</f>
        <v>13869.9</v>
      </c>
      <c r="U79" s="31"/>
      <c r="V79" s="31"/>
      <c r="W79" s="35" t="s">
        <v>48</v>
      </c>
      <c r="X79" s="35"/>
      <c r="Y79" s="35"/>
      <c r="Z79" s="35"/>
      <c r="AA79" s="35"/>
      <c r="AB79" s="33">
        <f>13869.9</f>
        <v>13869.9</v>
      </c>
      <c r="AC79" s="33"/>
    </row>
    <row r="80" spans="1:29" s="1" customFormat="1" ht="13.5" customHeight="1">
      <c r="A80" s="34" t="s">
        <v>110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29" t="s">
        <v>97</v>
      </c>
      <c r="M80" s="29"/>
      <c r="N80" s="29"/>
      <c r="O80" s="29" t="s">
        <v>143</v>
      </c>
      <c r="P80" s="29"/>
      <c r="Q80" s="29"/>
      <c r="R80" s="30" t="s">
        <v>112</v>
      </c>
      <c r="S80" s="30"/>
      <c r="T80" s="31">
        <f>6700</f>
        <v>6700</v>
      </c>
      <c r="U80" s="31"/>
      <c r="V80" s="31"/>
      <c r="W80" s="35" t="s">
        <v>48</v>
      </c>
      <c r="X80" s="35"/>
      <c r="Y80" s="35"/>
      <c r="Z80" s="35"/>
      <c r="AA80" s="35"/>
      <c r="AB80" s="33">
        <f>6700</f>
        <v>6700</v>
      </c>
      <c r="AC80" s="33"/>
    </row>
    <row r="81" spans="1:29" s="1" customFormat="1" ht="13.5" customHeight="1">
      <c r="A81" s="34" t="s">
        <v>110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29" t="s">
        <v>97</v>
      </c>
      <c r="M81" s="29"/>
      <c r="N81" s="29"/>
      <c r="O81" s="29" t="s">
        <v>144</v>
      </c>
      <c r="P81" s="29"/>
      <c r="Q81" s="29"/>
      <c r="R81" s="30" t="s">
        <v>112</v>
      </c>
      <c r="S81" s="30"/>
      <c r="T81" s="31">
        <f>2900</f>
        <v>2900</v>
      </c>
      <c r="U81" s="31"/>
      <c r="V81" s="31"/>
      <c r="W81" s="35" t="s">
        <v>48</v>
      </c>
      <c r="X81" s="35"/>
      <c r="Y81" s="35"/>
      <c r="Z81" s="35"/>
      <c r="AA81" s="35"/>
      <c r="AB81" s="33">
        <f>2900</f>
        <v>2900</v>
      </c>
      <c r="AC81" s="33"/>
    </row>
    <row r="82" spans="1:29" s="1" customFormat="1" ht="13.5" customHeight="1">
      <c r="A82" s="34" t="s">
        <v>113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29" t="s">
        <v>97</v>
      </c>
      <c r="M82" s="29"/>
      <c r="N82" s="29"/>
      <c r="O82" s="29" t="s">
        <v>145</v>
      </c>
      <c r="P82" s="29"/>
      <c r="Q82" s="29"/>
      <c r="R82" s="30" t="s">
        <v>115</v>
      </c>
      <c r="S82" s="30"/>
      <c r="T82" s="31">
        <f>5000</f>
        <v>5000</v>
      </c>
      <c r="U82" s="31"/>
      <c r="V82" s="31"/>
      <c r="W82" s="35" t="s">
        <v>48</v>
      </c>
      <c r="X82" s="35"/>
      <c r="Y82" s="35"/>
      <c r="Z82" s="35"/>
      <c r="AA82" s="35"/>
      <c r="AB82" s="33">
        <f>5000</f>
        <v>5000</v>
      </c>
      <c r="AC82" s="33"/>
    </row>
    <row r="83" spans="1:29" s="1" customFormat="1" ht="13.5" customHeight="1">
      <c r="A83" s="34" t="s">
        <v>127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29" t="s">
        <v>97</v>
      </c>
      <c r="M83" s="29"/>
      <c r="N83" s="29"/>
      <c r="O83" s="29" t="s">
        <v>146</v>
      </c>
      <c r="P83" s="29"/>
      <c r="Q83" s="29"/>
      <c r="R83" s="30" t="s">
        <v>128</v>
      </c>
      <c r="S83" s="30"/>
      <c r="T83" s="31">
        <f>916343.6</f>
        <v>916343.6</v>
      </c>
      <c r="U83" s="31"/>
      <c r="V83" s="31"/>
      <c r="W83" s="35" t="s">
        <v>48</v>
      </c>
      <c r="X83" s="35"/>
      <c r="Y83" s="35"/>
      <c r="Z83" s="35"/>
      <c r="AA83" s="35"/>
      <c r="AB83" s="33">
        <f>916343.6</f>
        <v>916343.6</v>
      </c>
      <c r="AC83" s="33"/>
    </row>
    <row r="84" spans="1:29" s="1" customFormat="1" ht="13.5" customHeight="1">
      <c r="A84" s="34" t="s">
        <v>113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29" t="s">
        <v>97</v>
      </c>
      <c r="M84" s="29"/>
      <c r="N84" s="29"/>
      <c r="O84" s="29" t="s">
        <v>146</v>
      </c>
      <c r="P84" s="29"/>
      <c r="Q84" s="29"/>
      <c r="R84" s="30" t="s">
        <v>115</v>
      </c>
      <c r="S84" s="30"/>
      <c r="T84" s="31">
        <f>7056.4</f>
        <v>7056.4</v>
      </c>
      <c r="U84" s="31"/>
      <c r="V84" s="31"/>
      <c r="W84" s="35" t="s">
        <v>48</v>
      </c>
      <c r="X84" s="35"/>
      <c r="Y84" s="35"/>
      <c r="Z84" s="35"/>
      <c r="AA84" s="35"/>
      <c r="AB84" s="33">
        <f>7056.4</f>
        <v>7056.4</v>
      </c>
      <c r="AC84" s="33"/>
    </row>
    <row r="85" spans="1:29" s="1" customFormat="1" ht="13.5" customHeight="1">
      <c r="A85" s="34" t="s">
        <v>127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29" t="s">
        <v>97</v>
      </c>
      <c r="M85" s="29"/>
      <c r="N85" s="29"/>
      <c r="O85" s="29" t="s">
        <v>147</v>
      </c>
      <c r="P85" s="29"/>
      <c r="Q85" s="29"/>
      <c r="R85" s="30" t="s">
        <v>128</v>
      </c>
      <c r="S85" s="30"/>
      <c r="T85" s="31">
        <f>261900</f>
        <v>261900</v>
      </c>
      <c r="U85" s="31"/>
      <c r="V85" s="31"/>
      <c r="W85" s="35" t="s">
        <v>48</v>
      </c>
      <c r="X85" s="35"/>
      <c r="Y85" s="35"/>
      <c r="Z85" s="35"/>
      <c r="AA85" s="35"/>
      <c r="AB85" s="33">
        <f>261900</f>
        <v>261900</v>
      </c>
      <c r="AC85" s="33"/>
    </row>
    <row r="86" spans="1:29" s="1" customFormat="1" ht="13.5" customHeight="1">
      <c r="A86" s="34" t="s">
        <v>127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29" t="s">
        <v>97</v>
      </c>
      <c r="M86" s="29"/>
      <c r="N86" s="29"/>
      <c r="O86" s="29" t="s">
        <v>148</v>
      </c>
      <c r="P86" s="29"/>
      <c r="Q86" s="29"/>
      <c r="R86" s="30" t="s">
        <v>128</v>
      </c>
      <c r="S86" s="30"/>
      <c r="T86" s="31">
        <f>13800</f>
        <v>13800</v>
      </c>
      <c r="U86" s="31"/>
      <c r="V86" s="31"/>
      <c r="W86" s="35" t="s">
        <v>48</v>
      </c>
      <c r="X86" s="35"/>
      <c r="Y86" s="35"/>
      <c r="Z86" s="35"/>
      <c r="AA86" s="35"/>
      <c r="AB86" s="33">
        <f>13800</f>
        <v>13800</v>
      </c>
      <c r="AC86" s="33"/>
    </row>
    <row r="87" spans="1:29" s="1" customFormat="1" ht="13.5" customHeight="1">
      <c r="A87" s="34" t="s">
        <v>122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29" t="s">
        <v>97</v>
      </c>
      <c r="M87" s="29"/>
      <c r="N87" s="29"/>
      <c r="O87" s="29" t="s">
        <v>149</v>
      </c>
      <c r="P87" s="29"/>
      <c r="Q87" s="29"/>
      <c r="R87" s="30" t="s">
        <v>124</v>
      </c>
      <c r="S87" s="30"/>
      <c r="T87" s="31">
        <f>160000</f>
        <v>160000</v>
      </c>
      <c r="U87" s="31"/>
      <c r="V87" s="31"/>
      <c r="W87" s="31">
        <f>89761.08</f>
        <v>89761.08</v>
      </c>
      <c r="X87" s="31"/>
      <c r="Y87" s="31"/>
      <c r="Z87" s="31"/>
      <c r="AA87" s="31"/>
      <c r="AB87" s="33">
        <f>70238.92</f>
        <v>70238.92</v>
      </c>
      <c r="AC87" s="33"/>
    </row>
    <row r="88" spans="1:29" s="1" customFormat="1" ht="13.5" customHeight="1">
      <c r="A88" s="34" t="s">
        <v>127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29" t="s">
        <v>97</v>
      </c>
      <c r="M88" s="29"/>
      <c r="N88" s="29"/>
      <c r="O88" s="29" t="s">
        <v>149</v>
      </c>
      <c r="P88" s="29"/>
      <c r="Q88" s="29"/>
      <c r="R88" s="30" t="s">
        <v>128</v>
      </c>
      <c r="S88" s="30"/>
      <c r="T88" s="31">
        <f>50000</f>
        <v>50000</v>
      </c>
      <c r="U88" s="31"/>
      <c r="V88" s="31"/>
      <c r="W88" s="31">
        <f>6250</f>
        <v>6250</v>
      </c>
      <c r="X88" s="31"/>
      <c r="Y88" s="31"/>
      <c r="Z88" s="31"/>
      <c r="AA88" s="31"/>
      <c r="AB88" s="33">
        <f>43750</f>
        <v>43750</v>
      </c>
      <c r="AC88" s="33"/>
    </row>
    <row r="89" spans="1:29" s="1" customFormat="1" ht="13.5" customHeight="1">
      <c r="A89" s="34" t="s">
        <v>116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29" t="s">
        <v>97</v>
      </c>
      <c r="M89" s="29"/>
      <c r="N89" s="29"/>
      <c r="O89" s="29" t="s">
        <v>149</v>
      </c>
      <c r="P89" s="29"/>
      <c r="Q89" s="29"/>
      <c r="R89" s="30" t="s">
        <v>118</v>
      </c>
      <c r="S89" s="30"/>
      <c r="T89" s="31">
        <f>291000</f>
        <v>291000</v>
      </c>
      <c r="U89" s="31"/>
      <c r="V89" s="31"/>
      <c r="W89" s="31">
        <f>117036.8</f>
        <v>117036.8</v>
      </c>
      <c r="X89" s="31"/>
      <c r="Y89" s="31"/>
      <c r="Z89" s="31"/>
      <c r="AA89" s="31"/>
      <c r="AB89" s="33">
        <f>173963.2</f>
        <v>173963.2</v>
      </c>
      <c r="AC89" s="33"/>
    </row>
    <row r="90" spans="1:29" s="1" customFormat="1" ht="13.5" customHeight="1">
      <c r="A90" s="34" t="s">
        <v>113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29" t="s">
        <v>97</v>
      </c>
      <c r="M90" s="29"/>
      <c r="N90" s="29"/>
      <c r="O90" s="29" t="s">
        <v>149</v>
      </c>
      <c r="P90" s="29"/>
      <c r="Q90" s="29"/>
      <c r="R90" s="30" t="s">
        <v>115</v>
      </c>
      <c r="S90" s="30"/>
      <c r="T90" s="31">
        <f>200000</f>
        <v>200000</v>
      </c>
      <c r="U90" s="31"/>
      <c r="V90" s="31"/>
      <c r="W90" s="31">
        <f>102564</f>
        <v>102564</v>
      </c>
      <c r="X90" s="31"/>
      <c r="Y90" s="31"/>
      <c r="Z90" s="31"/>
      <c r="AA90" s="31"/>
      <c r="AB90" s="33">
        <f>97436</f>
        <v>97436</v>
      </c>
      <c r="AC90" s="33"/>
    </row>
    <row r="91" spans="1:29" s="1" customFormat="1" ht="13.5" customHeight="1">
      <c r="A91" s="34" t="s">
        <v>129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29" t="s">
        <v>97</v>
      </c>
      <c r="M91" s="29"/>
      <c r="N91" s="29"/>
      <c r="O91" s="29" t="s">
        <v>149</v>
      </c>
      <c r="P91" s="29"/>
      <c r="Q91" s="29"/>
      <c r="R91" s="30" t="s">
        <v>130</v>
      </c>
      <c r="S91" s="30"/>
      <c r="T91" s="31">
        <f>49000</f>
        <v>49000</v>
      </c>
      <c r="U91" s="31"/>
      <c r="V91" s="31"/>
      <c r="W91" s="35" t="s">
        <v>48</v>
      </c>
      <c r="X91" s="35"/>
      <c r="Y91" s="35"/>
      <c r="Z91" s="35"/>
      <c r="AA91" s="35"/>
      <c r="AB91" s="33">
        <f>49000</f>
        <v>49000</v>
      </c>
      <c r="AC91" s="33"/>
    </row>
    <row r="92" spans="1:29" s="1" customFormat="1" ht="13.5" customHeight="1">
      <c r="A92" s="34" t="s">
        <v>116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29" t="s">
        <v>97</v>
      </c>
      <c r="M92" s="29"/>
      <c r="N92" s="29"/>
      <c r="O92" s="29" t="s">
        <v>150</v>
      </c>
      <c r="P92" s="29"/>
      <c r="Q92" s="29"/>
      <c r="R92" s="30" t="s">
        <v>118</v>
      </c>
      <c r="S92" s="30"/>
      <c r="T92" s="31">
        <f>390698</f>
        <v>390698</v>
      </c>
      <c r="U92" s="31"/>
      <c r="V92" s="31"/>
      <c r="W92" s="35" t="s">
        <v>48</v>
      </c>
      <c r="X92" s="35"/>
      <c r="Y92" s="35"/>
      <c r="Z92" s="35"/>
      <c r="AA92" s="35"/>
      <c r="AB92" s="33">
        <f>390698</f>
        <v>390698</v>
      </c>
      <c r="AC92" s="33"/>
    </row>
    <row r="93" spans="1:29" s="1" customFormat="1" ht="13.5" customHeight="1">
      <c r="A93" s="34" t="s">
        <v>113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29" t="s">
        <v>97</v>
      </c>
      <c r="M93" s="29"/>
      <c r="N93" s="29"/>
      <c r="O93" s="29" t="s">
        <v>151</v>
      </c>
      <c r="P93" s="29"/>
      <c r="Q93" s="29"/>
      <c r="R93" s="30" t="s">
        <v>115</v>
      </c>
      <c r="S93" s="30"/>
      <c r="T93" s="31">
        <f>22001876.4</f>
        <v>22001876.4</v>
      </c>
      <c r="U93" s="31"/>
      <c r="V93" s="31"/>
      <c r="W93" s="31">
        <f>17422000</f>
        <v>17422000</v>
      </c>
      <c r="X93" s="31"/>
      <c r="Y93" s="31"/>
      <c r="Z93" s="31"/>
      <c r="AA93" s="31"/>
      <c r="AB93" s="33">
        <f>4579876.4</f>
        <v>4579876.4</v>
      </c>
      <c r="AC93" s="33"/>
    </row>
    <row r="94" spans="1:29" s="1" customFormat="1" ht="13.5" customHeight="1">
      <c r="A94" s="34" t="s">
        <v>127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29" t="s">
        <v>97</v>
      </c>
      <c r="M94" s="29"/>
      <c r="N94" s="29"/>
      <c r="O94" s="29" t="s">
        <v>152</v>
      </c>
      <c r="P94" s="29"/>
      <c r="Q94" s="29"/>
      <c r="R94" s="30" t="s">
        <v>128</v>
      </c>
      <c r="S94" s="30"/>
      <c r="T94" s="31">
        <f>300000</f>
        <v>300000</v>
      </c>
      <c r="U94" s="31"/>
      <c r="V94" s="31"/>
      <c r="W94" s="31">
        <v>65022.32</v>
      </c>
      <c r="X94" s="31"/>
      <c r="Y94" s="31"/>
      <c r="Z94" s="31"/>
      <c r="AA94" s="31"/>
      <c r="AB94" s="33">
        <v>234977.68</v>
      </c>
      <c r="AC94" s="33"/>
    </row>
    <row r="95" spans="1:29" s="1" customFormat="1" ht="13.5" customHeight="1">
      <c r="A95" s="34" t="s">
        <v>116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29" t="s">
        <v>97</v>
      </c>
      <c r="M95" s="29"/>
      <c r="N95" s="29"/>
      <c r="O95" s="29" t="s">
        <v>152</v>
      </c>
      <c r="P95" s="29"/>
      <c r="Q95" s="29"/>
      <c r="R95" s="30" t="s">
        <v>118</v>
      </c>
      <c r="S95" s="30"/>
      <c r="T95" s="31">
        <f>550000</f>
        <v>550000</v>
      </c>
      <c r="U95" s="31"/>
      <c r="V95" s="31"/>
      <c r="W95" s="31">
        <f>7000</f>
        <v>7000</v>
      </c>
      <c r="X95" s="31"/>
      <c r="Y95" s="31"/>
      <c r="Z95" s="31"/>
      <c r="AA95" s="31"/>
      <c r="AB95" s="33">
        <f>543000</f>
        <v>543000</v>
      </c>
      <c r="AC95" s="33"/>
    </row>
    <row r="96" spans="1:29" s="1" customFormat="1" ht="13.5" customHeight="1">
      <c r="A96" s="34" t="s">
        <v>113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29" t="s">
        <v>97</v>
      </c>
      <c r="M96" s="29"/>
      <c r="N96" s="29"/>
      <c r="O96" s="29" t="s">
        <v>153</v>
      </c>
      <c r="P96" s="29"/>
      <c r="Q96" s="29"/>
      <c r="R96" s="30" t="s">
        <v>115</v>
      </c>
      <c r="S96" s="30"/>
      <c r="T96" s="31">
        <f>82300</f>
        <v>82300</v>
      </c>
      <c r="U96" s="31"/>
      <c r="V96" s="31"/>
      <c r="W96" s="35" t="s">
        <v>48</v>
      </c>
      <c r="X96" s="35"/>
      <c r="Y96" s="35"/>
      <c r="Z96" s="35"/>
      <c r="AA96" s="35"/>
      <c r="AB96" s="33">
        <f>82300</f>
        <v>82300</v>
      </c>
      <c r="AC96" s="33"/>
    </row>
    <row r="97" spans="1:29" s="1" customFormat="1" ht="13.5" customHeight="1">
      <c r="A97" s="34" t="s">
        <v>125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29" t="s">
        <v>97</v>
      </c>
      <c r="M97" s="29"/>
      <c r="N97" s="29"/>
      <c r="O97" s="29" t="s">
        <v>154</v>
      </c>
      <c r="P97" s="29"/>
      <c r="Q97" s="29"/>
      <c r="R97" s="30" t="s">
        <v>126</v>
      </c>
      <c r="S97" s="30"/>
      <c r="T97" s="31">
        <f>162425.81</f>
        <v>162425.81</v>
      </c>
      <c r="U97" s="31"/>
      <c r="V97" s="31"/>
      <c r="W97" s="31">
        <f>59623.68</f>
        <v>59623.68</v>
      </c>
      <c r="X97" s="31"/>
      <c r="Y97" s="31"/>
      <c r="Z97" s="31"/>
      <c r="AA97" s="31"/>
      <c r="AB97" s="33">
        <f>102802.13</f>
        <v>102802.13</v>
      </c>
      <c r="AC97" s="33"/>
    </row>
    <row r="98" spans="1:29" s="1" customFormat="1" ht="13.5" customHeight="1">
      <c r="A98" s="34" t="s">
        <v>127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29" t="s">
        <v>97</v>
      </c>
      <c r="M98" s="29"/>
      <c r="N98" s="29"/>
      <c r="O98" s="29" t="s">
        <v>154</v>
      </c>
      <c r="P98" s="29"/>
      <c r="Q98" s="29"/>
      <c r="R98" s="30" t="s">
        <v>128</v>
      </c>
      <c r="S98" s="30"/>
      <c r="T98" s="31">
        <f>283473.1</f>
        <v>283473.1</v>
      </c>
      <c r="U98" s="31"/>
      <c r="V98" s="31"/>
      <c r="W98" s="31">
        <f>147818.87</f>
        <v>147818.87</v>
      </c>
      <c r="X98" s="31"/>
      <c r="Y98" s="31"/>
      <c r="Z98" s="31"/>
      <c r="AA98" s="31"/>
      <c r="AB98" s="33">
        <f>135654.23</f>
        <v>135654.23</v>
      </c>
      <c r="AC98" s="33"/>
    </row>
    <row r="99" spans="1:29" s="1" customFormat="1" ht="13.5" customHeight="1">
      <c r="A99" s="34" t="s">
        <v>116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29" t="s">
        <v>97</v>
      </c>
      <c r="M99" s="29"/>
      <c r="N99" s="29"/>
      <c r="O99" s="29" t="s">
        <v>154</v>
      </c>
      <c r="P99" s="29"/>
      <c r="Q99" s="29"/>
      <c r="R99" s="30" t="s">
        <v>118</v>
      </c>
      <c r="S99" s="30"/>
      <c r="T99" s="31">
        <f>2259168.1</f>
        <v>2259168.1</v>
      </c>
      <c r="U99" s="31"/>
      <c r="V99" s="31"/>
      <c r="W99" s="31">
        <f>403560.08</f>
        <v>403560.08</v>
      </c>
      <c r="X99" s="31"/>
      <c r="Y99" s="31"/>
      <c r="Z99" s="31"/>
      <c r="AA99" s="31"/>
      <c r="AB99" s="33">
        <f>1855608.02</f>
        <v>1855608.02</v>
      </c>
      <c r="AC99" s="33"/>
    </row>
    <row r="100" spans="1:29" s="1" customFormat="1" ht="13.5" customHeight="1">
      <c r="A100" s="34" t="s">
        <v>129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29" t="s">
        <v>97</v>
      </c>
      <c r="M100" s="29"/>
      <c r="N100" s="29"/>
      <c r="O100" s="29" t="s">
        <v>154</v>
      </c>
      <c r="P100" s="29"/>
      <c r="Q100" s="29"/>
      <c r="R100" s="30" t="s">
        <v>130</v>
      </c>
      <c r="S100" s="30"/>
      <c r="T100" s="31">
        <f>70000</f>
        <v>70000</v>
      </c>
      <c r="U100" s="31"/>
      <c r="V100" s="31"/>
      <c r="W100" s="31">
        <f>69000</f>
        <v>69000</v>
      </c>
      <c r="X100" s="31"/>
      <c r="Y100" s="31"/>
      <c r="Z100" s="31"/>
      <c r="AA100" s="31"/>
      <c r="AB100" s="33">
        <f>1000</f>
        <v>1000</v>
      </c>
      <c r="AC100" s="33"/>
    </row>
    <row r="101" spans="1:29" s="1" customFormat="1" ht="13.5" customHeight="1">
      <c r="A101" s="34" t="s">
        <v>116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29" t="s">
        <v>97</v>
      </c>
      <c r="M101" s="29"/>
      <c r="N101" s="29"/>
      <c r="O101" s="29" t="s">
        <v>155</v>
      </c>
      <c r="P101" s="29"/>
      <c r="Q101" s="29"/>
      <c r="R101" s="30" t="s">
        <v>118</v>
      </c>
      <c r="S101" s="30"/>
      <c r="T101" s="31">
        <f>500000</f>
        <v>500000</v>
      </c>
      <c r="U101" s="31"/>
      <c r="V101" s="31"/>
      <c r="W101" s="35" t="s">
        <v>48</v>
      </c>
      <c r="X101" s="35"/>
      <c r="Y101" s="35"/>
      <c r="Z101" s="35"/>
      <c r="AA101" s="35"/>
      <c r="AB101" s="33">
        <f>500000</f>
        <v>500000</v>
      </c>
      <c r="AC101" s="33"/>
    </row>
    <row r="102" spans="1:29" s="1" customFormat="1" ht="13.5" customHeight="1">
      <c r="A102" s="34" t="s">
        <v>110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29" t="s">
        <v>97</v>
      </c>
      <c r="M102" s="29"/>
      <c r="N102" s="29"/>
      <c r="O102" s="29" t="s">
        <v>156</v>
      </c>
      <c r="P102" s="29"/>
      <c r="Q102" s="29"/>
      <c r="R102" s="30" t="s">
        <v>112</v>
      </c>
      <c r="S102" s="30"/>
      <c r="T102" s="31">
        <f>70000</f>
        <v>70000</v>
      </c>
      <c r="U102" s="31"/>
      <c r="V102" s="31"/>
      <c r="W102" s="31">
        <f>21000</f>
        <v>21000</v>
      </c>
      <c r="X102" s="31"/>
      <c r="Y102" s="31"/>
      <c r="Z102" s="31"/>
      <c r="AA102" s="31"/>
      <c r="AB102" s="33">
        <f>49000</f>
        <v>49000</v>
      </c>
      <c r="AC102" s="33"/>
    </row>
    <row r="103" spans="1:29" s="1" customFormat="1" ht="13.5" customHeight="1">
      <c r="A103" s="34" t="s">
        <v>157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29" t="s">
        <v>97</v>
      </c>
      <c r="M103" s="29"/>
      <c r="N103" s="29"/>
      <c r="O103" s="29" t="s">
        <v>158</v>
      </c>
      <c r="P103" s="29"/>
      <c r="Q103" s="29"/>
      <c r="R103" s="30" t="s">
        <v>159</v>
      </c>
      <c r="S103" s="30"/>
      <c r="T103" s="31">
        <f>10383857</f>
        <v>10383857</v>
      </c>
      <c r="U103" s="31"/>
      <c r="V103" s="31"/>
      <c r="W103" s="31">
        <f>6001379.17</f>
        <v>6001379.17</v>
      </c>
      <c r="X103" s="31"/>
      <c r="Y103" s="31"/>
      <c r="Z103" s="31"/>
      <c r="AA103" s="31"/>
      <c r="AB103" s="33">
        <f>4382477.83</f>
        <v>4382477.83</v>
      </c>
      <c r="AC103" s="33"/>
    </row>
    <row r="104" spans="1:29" s="1" customFormat="1" ht="15" customHeight="1">
      <c r="A104" s="40" t="s">
        <v>160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37" t="s">
        <v>161</v>
      </c>
      <c r="M104" s="37"/>
      <c r="N104" s="37"/>
      <c r="O104" s="37" t="s">
        <v>37</v>
      </c>
      <c r="P104" s="37"/>
      <c r="Q104" s="37"/>
      <c r="R104" s="38" t="s">
        <v>37</v>
      </c>
      <c r="S104" s="38"/>
      <c r="T104" s="39">
        <f>-25036870.31</f>
        <v>-25036870.31</v>
      </c>
      <c r="U104" s="39"/>
      <c r="V104" s="39"/>
      <c r="W104" s="39">
        <v>-6236965.49</v>
      </c>
      <c r="X104" s="39"/>
      <c r="Y104" s="39"/>
      <c r="Z104" s="39"/>
      <c r="AA104" s="39"/>
      <c r="AB104" s="36" t="s">
        <v>37</v>
      </c>
      <c r="AC104" s="36"/>
    </row>
    <row r="105" spans="1:29" s="1" customFormat="1" ht="13.5" customHeight="1">
      <c r="A105" s="10" t="s">
        <v>11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s="1" customFormat="1" ht="13.5" customHeight="1">
      <c r="A106" s="12" t="s">
        <v>162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1:29" s="1" customFormat="1" ht="45.75" customHeight="1">
      <c r="A107" s="13" t="s">
        <v>23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 t="s">
        <v>24</v>
      </c>
      <c r="N107" s="13"/>
      <c r="O107" s="13"/>
      <c r="P107" s="13" t="s">
        <v>163</v>
      </c>
      <c r="Q107" s="13"/>
      <c r="R107" s="13"/>
      <c r="S107" s="14" t="s">
        <v>26</v>
      </c>
      <c r="T107" s="14"/>
      <c r="U107" s="14"/>
      <c r="V107" s="14" t="s">
        <v>27</v>
      </c>
      <c r="W107" s="14"/>
      <c r="X107" s="14"/>
      <c r="Y107" s="14"/>
      <c r="Z107" s="14"/>
      <c r="AA107" s="15" t="s">
        <v>28</v>
      </c>
      <c r="AB107" s="15"/>
      <c r="AC107" s="15"/>
    </row>
    <row r="108" spans="1:29" s="1" customFormat="1" ht="12.75" customHeight="1">
      <c r="A108" s="16" t="s">
        <v>29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 t="s">
        <v>30</v>
      </c>
      <c r="N108" s="16"/>
      <c r="O108" s="16"/>
      <c r="P108" s="16" t="s">
        <v>31</v>
      </c>
      <c r="Q108" s="16"/>
      <c r="R108" s="16"/>
      <c r="S108" s="17" t="s">
        <v>32</v>
      </c>
      <c r="T108" s="17"/>
      <c r="U108" s="17"/>
      <c r="V108" s="17" t="s">
        <v>33</v>
      </c>
      <c r="W108" s="17"/>
      <c r="X108" s="17"/>
      <c r="Y108" s="17"/>
      <c r="Z108" s="17"/>
      <c r="AA108" s="18" t="s">
        <v>34</v>
      </c>
      <c r="AB108" s="18"/>
      <c r="AC108" s="18"/>
    </row>
    <row r="109" spans="1:29" s="1" customFormat="1" ht="13.5" customHeight="1">
      <c r="A109" s="19" t="s">
        <v>164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20" t="s">
        <v>165</v>
      </c>
      <c r="N109" s="20"/>
      <c r="O109" s="20"/>
      <c r="P109" s="20" t="s">
        <v>37</v>
      </c>
      <c r="Q109" s="20"/>
      <c r="R109" s="20"/>
      <c r="S109" s="41">
        <f>25036870.31</f>
        <v>25036870.31</v>
      </c>
      <c r="T109" s="41"/>
      <c r="U109" s="41"/>
      <c r="V109" s="21">
        <f>V115</f>
        <v>6236965.489999998</v>
      </c>
      <c r="W109" s="21"/>
      <c r="X109" s="21"/>
      <c r="Y109" s="21"/>
      <c r="Z109" s="21"/>
      <c r="AA109" s="42" t="s">
        <v>37</v>
      </c>
      <c r="AB109" s="42"/>
      <c r="AC109" s="42"/>
    </row>
    <row r="110" spans="1:29" s="1" customFormat="1" ht="13.5" customHeight="1">
      <c r="A110" s="43" t="s">
        <v>166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4" t="s">
        <v>11</v>
      </c>
      <c r="N110" s="44"/>
      <c r="O110" s="44"/>
      <c r="P110" s="44" t="s">
        <v>11</v>
      </c>
      <c r="Q110" s="44"/>
      <c r="R110" s="44"/>
      <c r="S110" s="45" t="s">
        <v>11</v>
      </c>
      <c r="T110" s="45"/>
      <c r="U110" s="45"/>
      <c r="V110" s="46" t="s">
        <v>11</v>
      </c>
      <c r="W110" s="46"/>
      <c r="X110" s="46"/>
      <c r="Y110" s="46"/>
      <c r="Z110" s="46"/>
      <c r="AA110" s="47" t="s">
        <v>11</v>
      </c>
      <c r="AB110" s="47"/>
      <c r="AC110" s="47"/>
    </row>
    <row r="111" spans="1:29" s="1" customFormat="1" ht="13.5" customHeight="1">
      <c r="A111" s="23" t="s">
        <v>167</v>
      </c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48" t="s">
        <v>168</v>
      </c>
      <c r="N111" s="48"/>
      <c r="O111" s="48"/>
      <c r="P111" s="24" t="s">
        <v>37</v>
      </c>
      <c r="Q111" s="24"/>
      <c r="R111" s="24"/>
      <c r="S111" s="49" t="s">
        <v>48</v>
      </c>
      <c r="T111" s="49"/>
      <c r="U111" s="49"/>
      <c r="V111" s="27" t="s">
        <v>48</v>
      </c>
      <c r="W111" s="27"/>
      <c r="X111" s="27"/>
      <c r="Y111" s="27"/>
      <c r="Z111" s="27"/>
      <c r="AA111" s="50" t="s">
        <v>48</v>
      </c>
      <c r="AB111" s="50"/>
      <c r="AC111" s="50"/>
    </row>
    <row r="112" spans="1:29" s="1" customFormat="1" ht="13.5" customHeight="1">
      <c r="A112" s="30" t="s">
        <v>11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</row>
    <row r="113" spans="1:29" s="1" customFormat="1" ht="13.5" customHeight="1">
      <c r="A113" s="34" t="s">
        <v>169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4" t="s">
        <v>170</v>
      </c>
      <c r="N113" s="44"/>
      <c r="O113" s="44"/>
      <c r="P113" s="44" t="s">
        <v>37</v>
      </c>
      <c r="Q113" s="44"/>
      <c r="R113" s="44"/>
      <c r="S113" s="45" t="s">
        <v>48</v>
      </c>
      <c r="T113" s="45"/>
      <c r="U113" s="45"/>
      <c r="V113" s="35" t="s">
        <v>48</v>
      </c>
      <c r="W113" s="35"/>
      <c r="X113" s="35"/>
      <c r="Y113" s="35"/>
      <c r="Z113" s="35"/>
      <c r="AA113" s="47" t="s">
        <v>48</v>
      </c>
      <c r="AB113" s="47"/>
      <c r="AC113" s="47"/>
    </row>
    <row r="114" spans="1:29" s="1" customFormat="1" ht="13.5" customHeight="1">
      <c r="A114" s="34" t="s">
        <v>11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29" t="s">
        <v>170</v>
      </c>
      <c r="N114" s="29"/>
      <c r="O114" s="29"/>
      <c r="P114" s="29" t="s">
        <v>11</v>
      </c>
      <c r="Q114" s="29"/>
      <c r="R114" s="29"/>
      <c r="S114" s="51" t="s">
        <v>48</v>
      </c>
      <c r="T114" s="51"/>
      <c r="U114" s="51"/>
      <c r="V114" s="35" t="s">
        <v>48</v>
      </c>
      <c r="W114" s="35"/>
      <c r="X114" s="35"/>
      <c r="Y114" s="35"/>
      <c r="Z114" s="35"/>
      <c r="AA114" s="52" t="s">
        <v>48</v>
      </c>
      <c r="AB114" s="52"/>
      <c r="AC114" s="52"/>
    </row>
    <row r="115" spans="1:29" s="1" customFormat="1" ht="13.5" customHeight="1">
      <c r="A115" s="34" t="s">
        <v>171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29" t="s">
        <v>172</v>
      </c>
      <c r="N115" s="29"/>
      <c r="O115" s="29"/>
      <c r="P115" s="29" t="s">
        <v>173</v>
      </c>
      <c r="Q115" s="29"/>
      <c r="R115" s="29"/>
      <c r="S115" s="53">
        <f>25036870.31</f>
        <v>25036870.31</v>
      </c>
      <c r="T115" s="53"/>
      <c r="U115" s="53"/>
      <c r="V115" s="31">
        <f>V116+V117</f>
        <v>6236965.489999998</v>
      </c>
      <c r="W115" s="31"/>
      <c r="X115" s="31"/>
      <c r="Y115" s="31"/>
      <c r="Z115" s="31"/>
      <c r="AA115" s="54">
        <f>S115-V115</f>
        <v>18799904.82</v>
      </c>
      <c r="AB115" s="54"/>
      <c r="AC115" s="54"/>
    </row>
    <row r="116" spans="1:29" s="1" customFormat="1" ht="13.5" customHeight="1">
      <c r="A116" s="34" t="s">
        <v>174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29" t="s">
        <v>175</v>
      </c>
      <c r="N116" s="29"/>
      <c r="O116" s="29"/>
      <c r="P116" s="29" t="s">
        <v>176</v>
      </c>
      <c r="Q116" s="29"/>
      <c r="R116" s="29"/>
      <c r="S116" s="53">
        <f>-39302198</f>
        <v>-39302198</v>
      </c>
      <c r="T116" s="53"/>
      <c r="U116" s="53"/>
      <c r="V116" s="31">
        <f>-V12</f>
        <v>-23078981.25</v>
      </c>
      <c r="W116" s="31"/>
      <c r="X116" s="31"/>
      <c r="Y116" s="31"/>
      <c r="Z116" s="31"/>
      <c r="AA116" s="55" t="s">
        <v>37</v>
      </c>
      <c r="AB116" s="55"/>
      <c r="AC116" s="55"/>
    </row>
    <row r="117" spans="1:29" s="1" customFormat="1" ht="13.5" customHeight="1">
      <c r="A117" s="34" t="s">
        <v>177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29" t="s">
        <v>178</v>
      </c>
      <c r="N117" s="29"/>
      <c r="O117" s="29"/>
      <c r="P117" s="29" t="s">
        <v>179</v>
      </c>
      <c r="Q117" s="29"/>
      <c r="R117" s="29"/>
      <c r="S117" s="53">
        <f>64339068.31</f>
        <v>64339068.31</v>
      </c>
      <c r="T117" s="53"/>
      <c r="U117" s="53"/>
      <c r="V117" s="31">
        <f>W49</f>
        <v>29315946.74</v>
      </c>
      <c r="W117" s="31"/>
      <c r="X117" s="31"/>
      <c r="Y117" s="31"/>
      <c r="Z117" s="31"/>
      <c r="AA117" s="55" t="s">
        <v>37</v>
      </c>
      <c r="AB117" s="55"/>
      <c r="AC117" s="55"/>
    </row>
    <row r="118" spans="1:29" s="1" customFormat="1" ht="13.5" customHeight="1">
      <c r="A118" s="56" t="s">
        <v>11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</row>
    <row r="119" spans="1:29" s="1" customFormat="1" ht="13.5" customHeight="1">
      <c r="A119" s="10" t="s">
        <v>180</v>
      </c>
      <c r="B119" s="10"/>
      <c r="C119" s="10"/>
      <c r="D119" s="10"/>
      <c r="E119" s="10"/>
      <c r="F119" s="10"/>
      <c r="G119" s="10"/>
      <c r="H119" s="10"/>
      <c r="I119" s="57" t="s">
        <v>11</v>
      </c>
      <c r="J119" s="57"/>
      <c r="K119" s="57"/>
      <c r="L119" s="57"/>
      <c r="M119" s="57"/>
      <c r="N119" s="57"/>
      <c r="O119" s="57"/>
      <c r="P119" s="57" t="s">
        <v>181</v>
      </c>
      <c r="Q119" s="57"/>
      <c r="R119" s="57"/>
      <c r="S119" s="57"/>
      <c r="T119" s="57"/>
      <c r="U119" s="10" t="s">
        <v>11</v>
      </c>
      <c r="V119" s="10"/>
      <c r="W119" s="10"/>
      <c r="X119" s="10"/>
      <c r="Y119" s="10"/>
      <c r="Z119" s="10"/>
      <c r="AA119" s="10"/>
      <c r="AB119" s="10"/>
      <c r="AC119" s="10"/>
    </row>
    <row r="120" spans="1:29" s="1" customFormat="1" ht="13.5" customHeight="1">
      <c r="A120" s="10" t="s">
        <v>11</v>
      </c>
      <c r="B120" s="10"/>
      <c r="C120" s="10"/>
      <c r="D120" s="10"/>
      <c r="E120" s="10"/>
      <c r="F120" s="10"/>
      <c r="G120" s="10"/>
      <c r="H120" s="10"/>
      <c r="I120" s="5" t="s">
        <v>11</v>
      </c>
      <c r="J120" s="58" t="s">
        <v>182</v>
      </c>
      <c r="K120" s="58"/>
      <c r="L120" s="58"/>
      <c r="M120" s="58"/>
      <c r="N120" s="10" t="s">
        <v>11</v>
      </c>
      <c r="O120" s="10"/>
      <c r="P120" s="5" t="s">
        <v>11</v>
      </c>
      <c r="Q120" s="58" t="s">
        <v>183</v>
      </c>
      <c r="R120" s="58"/>
      <c r="S120" s="58"/>
      <c r="T120" s="10" t="s">
        <v>11</v>
      </c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s="1" customFormat="1" ht="7.5" customHeight="1">
      <c r="A121" s="10" t="s">
        <v>11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1" customFormat="1" ht="13.5" customHeight="1">
      <c r="A122" s="10" t="s">
        <v>184</v>
      </c>
      <c r="B122" s="10"/>
      <c r="C122" s="10"/>
      <c r="D122" s="10"/>
      <c r="E122" s="10"/>
      <c r="F122" s="10"/>
      <c r="G122" s="10"/>
      <c r="H122" s="10"/>
      <c r="I122" s="57" t="s">
        <v>11</v>
      </c>
      <c r="J122" s="57"/>
      <c r="K122" s="57"/>
      <c r="L122" s="57"/>
      <c r="M122" s="57"/>
      <c r="N122" s="57"/>
      <c r="O122" s="57"/>
      <c r="P122" s="57" t="s">
        <v>185</v>
      </c>
      <c r="Q122" s="57"/>
      <c r="R122" s="57"/>
      <c r="S122" s="57"/>
      <c r="T122" s="57"/>
      <c r="U122" s="10" t="s">
        <v>11</v>
      </c>
      <c r="V122" s="10"/>
      <c r="W122" s="10"/>
      <c r="X122" s="10"/>
      <c r="Y122" s="10"/>
      <c r="Z122" s="10"/>
      <c r="AA122" s="10"/>
      <c r="AB122" s="10"/>
      <c r="AC122" s="10"/>
    </row>
    <row r="123" spans="1:29" s="1" customFormat="1" ht="13.5" customHeight="1">
      <c r="A123" s="10" t="s">
        <v>11</v>
      </c>
      <c r="B123" s="10"/>
      <c r="C123" s="10"/>
      <c r="D123" s="10"/>
      <c r="E123" s="10"/>
      <c r="F123" s="10"/>
      <c r="G123" s="10"/>
      <c r="H123" s="10"/>
      <c r="I123" s="5" t="s">
        <v>11</v>
      </c>
      <c r="J123" s="58" t="s">
        <v>182</v>
      </c>
      <c r="K123" s="58"/>
      <c r="L123" s="58"/>
      <c r="M123" s="58"/>
      <c r="N123" s="10" t="s">
        <v>11</v>
      </c>
      <c r="O123" s="10"/>
      <c r="P123" s="5" t="s">
        <v>11</v>
      </c>
      <c r="Q123" s="58" t="s">
        <v>183</v>
      </c>
      <c r="R123" s="58"/>
      <c r="S123" s="58"/>
      <c r="T123" s="10" t="s">
        <v>11</v>
      </c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s="1" customFormat="1" ht="7.5" customHeight="1">
      <c r="A124" s="10" t="s">
        <v>11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s="1" customFormat="1" ht="13.5" customHeight="1">
      <c r="A125" s="10" t="s">
        <v>186</v>
      </c>
      <c r="B125" s="10"/>
      <c r="C125" s="57" t="s">
        <v>184</v>
      </c>
      <c r="D125" s="57"/>
      <c r="E125" s="57"/>
      <c r="F125" s="57"/>
      <c r="G125" s="57"/>
      <c r="H125" s="57"/>
      <c r="I125" s="57" t="s">
        <v>11</v>
      </c>
      <c r="J125" s="57"/>
      <c r="K125" s="57"/>
      <c r="L125" s="57"/>
      <c r="M125" s="57"/>
      <c r="N125" s="57"/>
      <c r="O125" s="57"/>
      <c r="P125" s="57" t="s">
        <v>185</v>
      </c>
      <c r="Q125" s="57"/>
      <c r="R125" s="57"/>
      <c r="S125" s="57"/>
      <c r="T125" s="57"/>
      <c r="U125" s="10" t="s">
        <v>11</v>
      </c>
      <c r="V125" s="10"/>
      <c r="W125" s="10"/>
      <c r="X125" s="10"/>
      <c r="Y125" s="10"/>
      <c r="Z125" s="10"/>
      <c r="AA125" s="10"/>
      <c r="AB125" s="10"/>
      <c r="AC125" s="10"/>
    </row>
    <row r="126" spans="1:29" s="1" customFormat="1" ht="13.5" customHeight="1">
      <c r="A126" s="10" t="s">
        <v>11</v>
      </c>
      <c r="B126" s="10"/>
      <c r="C126" s="5" t="s">
        <v>11</v>
      </c>
      <c r="D126" s="58" t="s">
        <v>187</v>
      </c>
      <c r="E126" s="58"/>
      <c r="F126" s="58"/>
      <c r="G126" s="58"/>
      <c r="H126" s="5" t="s">
        <v>11</v>
      </c>
      <c r="I126" s="5" t="s">
        <v>11</v>
      </c>
      <c r="J126" s="58" t="s">
        <v>182</v>
      </c>
      <c r="K126" s="58"/>
      <c r="L126" s="58"/>
      <c r="M126" s="58"/>
      <c r="N126" s="10" t="s">
        <v>11</v>
      </c>
      <c r="O126" s="10"/>
      <c r="P126" s="5" t="s">
        <v>11</v>
      </c>
      <c r="Q126" s="58" t="s">
        <v>183</v>
      </c>
      <c r="R126" s="58"/>
      <c r="S126" s="58"/>
      <c r="T126" s="10" t="s">
        <v>11</v>
      </c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s="1" customFormat="1" ht="15.75" customHeight="1">
      <c r="A127" s="10" t="s">
        <v>11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s="1" customFormat="1" ht="13.5" customHeight="1">
      <c r="A128" s="59" t="s">
        <v>188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10" t="s">
        <v>11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s="1" customFormat="1" ht="13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</sheetData>
  <sheetProtection/>
  <mergeCells count="733">
    <mergeCell ref="A127:AC127"/>
    <mergeCell ref="A128:J128"/>
    <mergeCell ref="K128:AC128"/>
    <mergeCell ref="A129:AC129"/>
    <mergeCell ref="A126:B126"/>
    <mergeCell ref="D126:G126"/>
    <mergeCell ref="J126:M126"/>
    <mergeCell ref="N126:O126"/>
    <mergeCell ref="Q126:S126"/>
    <mergeCell ref="T126:AC126"/>
    <mergeCell ref="A124:AC124"/>
    <mergeCell ref="A125:B125"/>
    <mergeCell ref="C125:H125"/>
    <mergeCell ref="I125:O125"/>
    <mergeCell ref="P125:T125"/>
    <mergeCell ref="U125:AC125"/>
    <mergeCell ref="A121:AC121"/>
    <mergeCell ref="A122:H122"/>
    <mergeCell ref="I122:O122"/>
    <mergeCell ref="P122:T122"/>
    <mergeCell ref="U122:AC122"/>
    <mergeCell ref="A123:H123"/>
    <mergeCell ref="J123:M123"/>
    <mergeCell ref="N123:O123"/>
    <mergeCell ref="Q123:S123"/>
    <mergeCell ref="T123:AC123"/>
    <mergeCell ref="A118:AC118"/>
    <mergeCell ref="A119:H119"/>
    <mergeCell ref="I119:O119"/>
    <mergeCell ref="P119:T119"/>
    <mergeCell ref="U119:AC119"/>
    <mergeCell ref="A120:H120"/>
    <mergeCell ref="J120:M120"/>
    <mergeCell ref="N120:O120"/>
    <mergeCell ref="Q120:S120"/>
    <mergeCell ref="T120:AC120"/>
    <mergeCell ref="A117:L117"/>
    <mergeCell ref="M117:O117"/>
    <mergeCell ref="P117:R117"/>
    <mergeCell ref="S117:U117"/>
    <mergeCell ref="V117:Z117"/>
    <mergeCell ref="AA117:AC117"/>
    <mergeCell ref="A116:L116"/>
    <mergeCell ref="M116:O116"/>
    <mergeCell ref="P116:R116"/>
    <mergeCell ref="S116:U116"/>
    <mergeCell ref="V116:Z116"/>
    <mergeCell ref="AA116:AC116"/>
    <mergeCell ref="A115:L115"/>
    <mergeCell ref="M115:O115"/>
    <mergeCell ref="P115:R115"/>
    <mergeCell ref="S115:U115"/>
    <mergeCell ref="V115:Z115"/>
    <mergeCell ref="AA115:AC115"/>
    <mergeCell ref="A114:L114"/>
    <mergeCell ref="M114:O114"/>
    <mergeCell ref="P114:R114"/>
    <mergeCell ref="S114:U114"/>
    <mergeCell ref="V114:Z114"/>
    <mergeCell ref="AA114:AC114"/>
    <mergeCell ref="A112:AC112"/>
    <mergeCell ref="A113:L113"/>
    <mergeCell ref="M113:O113"/>
    <mergeCell ref="P113:R113"/>
    <mergeCell ref="S113:U113"/>
    <mergeCell ref="V113:Z113"/>
    <mergeCell ref="AA113:AC113"/>
    <mergeCell ref="A111:L111"/>
    <mergeCell ref="M111:O111"/>
    <mergeCell ref="P111:R111"/>
    <mergeCell ref="S111:U111"/>
    <mergeCell ref="V111:Z111"/>
    <mergeCell ref="AA111:AC111"/>
    <mergeCell ref="A110:L110"/>
    <mergeCell ref="M110:O110"/>
    <mergeCell ref="P110:R110"/>
    <mergeCell ref="S110:U110"/>
    <mergeCell ref="V110:Z110"/>
    <mergeCell ref="AA110:AC110"/>
    <mergeCell ref="A109:L109"/>
    <mergeCell ref="M109:O109"/>
    <mergeCell ref="P109:R109"/>
    <mergeCell ref="S109:U109"/>
    <mergeCell ref="V109:Z109"/>
    <mergeCell ref="AA109:AC109"/>
    <mergeCell ref="A108:L108"/>
    <mergeCell ref="M108:O108"/>
    <mergeCell ref="P108:R108"/>
    <mergeCell ref="S108:U108"/>
    <mergeCell ref="V108:Z108"/>
    <mergeCell ref="A105:AC105"/>
    <mergeCell ref="A106:AC106"/>
    <mergeCell ref="A107:L107"/>
    <mergeCell ref="M107:O107"/>
    <mergeCell ref="AA108:AC108"/>
    <mergeCell ref="A102:K102"/>
    <mergeCell ref="P107:R107"/>
    <mergeCell ref="S107:U107"/>
    <mergeCell ref="V107:Z107"/>
    <mergeCell ref="AA107:AC107"/>
    <mergeCell ref="L104:N104"/>
    <mergeCell ref="O104:Q104"/>
    <mergeCell ref="R104:S104"/>
    <mergeCell ref="T104:V104"/>
    <mergeCell ref="W104:AA104"/>
    <mergeCell ref="AB103:AC103"/>
    <mergeCell ref="AB104:AC104"/>
    <mergeCell ref="A103:K103"/>
    <mergeCell ref="L103:N103"/>
    <mergeCell ref="O103:Q103"/>
    <mergeCell ref="R103:S103"/>
    <mergeCell ref="T103:V103"/>
    <mergeCell ref="W103:AA103"/>
    <mergeCell ref="A104:K104"/>
    <mergeCell ref="L102:N102"/>
    <mergeCell ref="O102:Q102"/>
    <mergeCell ref="R102:S102"/>
    <mergeCell ref="T102:V102"/>
    <mergeCell ref="W102:AA102"/>
    <mergeCell ref="AB100:AC100"/>
    <mergeCell ref="AB101:AC101"/>
    <mergeCell ref="AB102:AC102"/>
    <mergeCell ref="A101:K101"/>
    <mergeCell ref="L101:N101"/>
    <mergeCell ref="O101:Q101"/>
    <mergeCell ref="R101:S101"/>
    <mergeCell ref="T101:V101"/>
    <mergeCell ref="W101:AA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45:AC45"/>
    <mergeCell ref="A46:AC46"/>
    <mergeCell ref="A47:K47"/>
    <mergeCell ref="L47:N47"/>
    <mergeCell ref="O47:Q47"/>
    <mergeCell ref="R47:S47"/>
    <mergeCell ref="T47:V47"/>
    <mergeCell ref="W47:AA47"/>
    <mergeCell ref="AB47:AC47"/>
    <mergeCell ref="A44:L44"/>
    <mergeCell ref="M44:O44"/>
    <mergeCell ref="P44:R44"/>
    <mergeCell ref="S44:U44"/>
    <mergeCell ref="V44:Z44"/>
    <mergeCell ref="AA44:AC44"/>
    <mergeCell ref="A43:L43"/>
    <mergeCell ref="M43:O43"/>
    <mergeCell ref="P43:R43"/>
    <mergeCell ref="S43:U43"/>
    <mergeCell ref="V43:Z43"/>
    <mergeCell ref="AA43:AC43"/>
    <mergeCell ref="A42:L42"/>
    <mergeCell ref="M42:O42"/>
    <mergeCell ref="P42:R42"/>
    <mergeCell ref="S42:U42"/>
    <mergeCell ref="V42:Z42"/>
    <mergeCell ref="AA42:AC42"/>
    <mergeCell ref="A41:L41"/>
    <mergeCell ref="M41:O41"/>
    <mergeCell ref="P41:R41"/>
    <mergeCell ref="S41:U41"/>
    <mergeCell ref="V41:Z41"/>
    <mergeCell ref="AA41:AC41"/>
    <mergeCell ref="A40:L40"/>
    <mergeCell ref="M40:O40"/>
    <mergeCell ref="P40:R40"/>
    <mergeCell ref="S40:U40"/>
    <mergeCell ref="V40:Z40"/>
    <mergeCell ref="AA40:AC40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118110236220472" footer="0.5118110236220472"/>
  <pageSetup fitToHeight="0" fitToWidth="1" horizontalDpi="600" verticalDpi="600" orientation="landscape" paperSize="9" scale="93" r:id="rId1"/>
  <rowBreaks count="2" manualBreakCount="2">
    <brk id="45" max="255" man="1"/>
    <brk id="10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ShabalinaOV</dc:creator>
  <cp:keywords/>
  <dc:description/>
  <cp:lastModifiedBy>ShabalinaOV</cp:lastModifiedBy>
  <cp:lastPrinted>2017-05-02T06:50:50Z</cp:lastPrinted>
  <dcterms:created xsi:type="dcterms:W3CDTF">2017-05-02T06:24:46Z</dcterms:created>
  <dcterms:modified xsi:type="dcterms:W3CDTF">2017-05-05T04:28:03Z</dcterms:modified>
  <cp:category/>
  <cp:version/>
  <cp:contentType/>
  <cp:contentStatus/>
</cp:coreProperties>
</file>