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<sst xmlns="http://schemas.openxmlformats.org/spreadsheetml/2006/main" count="599" uniqueCount="217">
  <si>
    <t>ОТЧЕТ ОБ ИСПОЛНЕНИИ БЮДЖЕТА</t>
  </si>
  <si>
    <t>КОДЫ</t>
  </si>
  <si>
    <t xml:space="preserve">Форма по ОКУД </t>
  </si>
  <si>
    <t>0503117</t>
  </si>
  <si>
    <t>на 1 июня 2019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</si>
  <si>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</si>
  <si>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</si>
  <si>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</si>
  <si>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</si>
  <si>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</si>
  <si>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</si>
  <si>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</si>
  <si>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</si>
  <si>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</si>
  <si>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</si>
  <si>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</si>
  <si>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</si>
  <si>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</si>
  <si>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</si>
  <si>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</si>
  <si>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</si>
  <si>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</si>
  <si>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</si>
  <si>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</si>
  <si>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</si>
  <si>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</si>
  <si>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</si>
  <si>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</si>
  <si>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</si>
  <si>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</si>
  <si>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</si>
  <si>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</si>
  <si>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</si>
  <si>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</si>
  <si>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</si>
  <si>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</si>
  <si>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</si>
  <si>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</si>
  <si>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</si>
  <si>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</si>
  <si>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</si>
  <si>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</si>
  <si>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</si>
  <si>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</si>
  <si>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</si>
  <si>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</si>
  <si>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</si>
  <si>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</si>
  <si>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</si>
  <si>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</si>
  <si>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</si>
  <si>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</si>
  <si>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</si>
  <si>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</si>
  <si>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</si>
  <si>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</si>
  <si>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</si>
  <si>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</si>
  <si>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</si>
  <si>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</si>
  <si>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</si>
  <si>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</si>
  <si>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</si>
  <si>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</si>
  <si>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</si>
  <si>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</si>
  <si>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</si>
  <si>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</si>
  <si>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</si>
  <si>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</si>
  <si>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</si>
  <si>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</si>
  <si>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</si>
  <si>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</si>
  <si>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</si>
  <si>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</si>
  <si>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</si>
  <si>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</si>
  <si>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</si>
  <si>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</si>
  <si>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</si>
  <si>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</si>
  <si>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</si>
  <si>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</si>
  <si>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</si>
  <si>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</si>
  <si>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</si>
  <si>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</si>
  <si>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</si>
  <si>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</si>
  <si>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</si>
  <si>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</si>
  <si>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</si>
  <si>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</si>
  <si>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</si>
  <si>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</si>
  <si>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</si>
  <si>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</si>
  <si>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</si>
  <si>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</si>
  <si>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</si>
  <si>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</si>
  <si>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</si>
  <si>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</si>
  <si>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</si>
  <si>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</si>
  <si>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</si>
  <si>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</si>
  <si>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</si>
  <si>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</si>
  <si>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</si>
  <si>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</si>
  <si>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</si>
  <si>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650 0104 0600102040 122</t>
  </si>
  <si>
    <t>Прочие несоциальные выплаты персоналу в натуральной форме</t>
  </si>
  <si>
    <t>214</t>
  </si>
  <si>
    <t>Социальные пособия и компенсации персоналу в денежной форме</t>
  </si>
  <si>
    <t>266</t>
  </si>
  <si>
    <t>650 0104 0600102040 129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</si>
  <si>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</si>
  <si>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</si>
  <si>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</si>
  <si>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</si>
  <si>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</si>
  <si>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</si>
  <si>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Прочие работы, услуги</t>
  </si>
  <si>
    <t>650 0104 0600302040 122</t>
  </si>
  <si>
    <t>226</t>
  </si>
  <si>
    <t>650 0104 0600302040 244</t>
  </si>
  <si>
    <t>650 0104 0600302400 244</t>
  </si>
  <si>
    <t>Иные выплаты текущего характера физическим лицам</t>
  </si>
  <si>
    <t>650 0111 5000020940 870</t>
  </si>
  <si>
    <t>296</t>
  </si>
  <si>
    <t>650 0113 0600120904 242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</si>
  <si>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</si>
  <si>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</si>
  <si>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</si>
  <si>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</si>
  <si>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</si>
  <si>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</si>
  <si>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</si>
  <si>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</si>
  <si>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</si>
  <si>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</si>
  <si>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</si>
  <si>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</si>
  <si>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</si>
  <si>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</si>
  <si>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</si>
  <si>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</si>
  <si>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</si>
  <si>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</si>
  <si>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</si>
  <si>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</si>
  <si>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</si>
  <si>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</si>
  <si>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650 0113 0600199990 360</t>
  </si>
  <si>
    <t>650 0113 0600199990 851</t>
  </si>
  <si>
    <t>650 0113 0600199990 852</t>
  </si>
  <si>
    <t>650 0113 0600199990 853</t>
  </si>
  <si>
    <t>650 0113 0800199990 244</t>
  </si>
  <si>
    <t>650 0113 0800199990 851</t>
  </si>
  <si>
    <t>650 0203 5000051180 121</t>
  </si>
  <si>
    <t>650 0203 5000051180 129</t>
  </si>
  <si>
    <t>650 0309 0900189005 244</t>
  </si>
  <si>
    <t>650 0309 0900199990 244</t>
  </si>
  <si>
    <t>650 0314 0200199990 244</t>
  </si>
  <si>
    <t>650 0314 0300182300 123</t>
  </si>
  <si>
    <t>650 0314 03001S2300 123</t>
  </si>
  <si>
    <t>650 0314 0300299990 244</t>
  </si>
  <si>
    <t>650 0409 0100220902 244</t>
  </si>
  <si>
    <t>650 0410 0400199990 242</t>
  </si>
  <si>
    <t>650 0410 0400289008 242</t>
  </si>
  <si>
    <t>650 0501 0800199990 244</t>
  </si>
  <si>
    <t>650 0503 0500189001 244</t>
  </si>
  <si>
    <t>650 0503 0500199990 244</t>
  </si>
  <si>
    <t>650 0503 0500289016 244</t>
  </si>
  <si>
    <t>650 0503 0500299990 244</t>
  </si>
  <si>
    <t>650 0605 0500384290 244</t>
  </si>
  <si>
    <t>650 0705 0600199990 244</t>
  </si>
  <si>
    <t>650 0705 0600302400 244</t>
  </si>
  <si>
    <t>650 0705 0600389003 244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</si>
  <si>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</si>
  <si>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</si>
  <si>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</si>
  <si>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</si>
  <si>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</si>
  <si>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</si>
  <si>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</si>
  <si>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</si>
  <si>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</si>
  <si>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</si>
  <si>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</si>
  <si>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</si>
  <si>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</si>
  <si>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</si>
  <si>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</si>
  <si>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</si>
  <si>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</si>
  <si>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</si>
  <si>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</si>
  <si>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</si>
  <si>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</si>
  <si>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</si>
  <si>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</si>
  <si>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</si>
  <si>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</si>
  <si>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</si>
  <si>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</si>
  <si>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</si>
  <si>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</si>
  <si>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Исполняющий обязанности главного бухгалтера</t>
  </si>
  <si>
    <t>Фомина М. В.</t>
  </si>
  <si>
    <t>Исполнитель:</t>
  </si>
  <si>
    <t>(должность)</t>
  </si>
  <si>
    <t xml:space="preserve">   3 июня 2019 г.   </t>
  </si>
  <si>
    <t>Форма 0503117 с.1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</si>
</sst>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2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tabSelected="1" zoomScalePageLayoutView="0" workbookViewId="0" topLeftCell="A52">
      <selection activeCell="W63" sqref="W63:AA6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43617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47407991.1</f>
        <v>47407991.1</v>
      </c>
      <c r="T12" s="21"/>
      <c r="U12" s="21"/>
      <c r="V12" s="21">
        <f>24918666.13</f>
        <v>24918666.13</v>
      </c>
      <c r="W12" s="21"/>
      <c r="X12" s="21"/>
      <c r="Y12" s="21"/>
      <c r="Z12" s="21"/>
      <c r="AA12" s="22">
        <f>22489324.97</f>
        <v>22489324.97</v>
      </c>
      <c r="AB12" s="22"/>
      <c r="AC12" s="22"/>
    </row>
    <row r="13" spans="1:29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143100</f>
        <v>143100</v>
      </c>
      <c r="T13" s="25"/>
      <c r="U13" s="25"/>
      <c r="V13" s="25">
        <f>86748.6</f>
        <v>86748.6</v>
      </c>
      <c r="W13" s="25"/>
      <c r="X13" s="25"/>
      <c r="Y13" s="25"/>
      <c r="Z13" s="25"/>
      <c r="AA13" s="26">
        <f>56351.4</f>
        <v>56351.4</v>
      </c>
      <c r="AB13" s="26"/>
      <c r="AC13" s="26"/>
    </row>
    <row r="14" spans="1:29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1200</f>
        <v>1200</v>
      </c>
      <c r="T14" s="25"/>
      <c r="U14" s="25"/>
      <c r="V14" s="25">
        <f>651.71</f>
        <v>651.71</v>
      </c>
      <c r="W14" s="25"/>
      <c r="X14" s="25"/>
      <c r="Y14" s="25"/>
      <c r="Z14" s="25"/>
      <c r="AA14" s="26">
        <f>548.29</f>
        <v>548.29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297500</f>
        <v>297500</v>
      </c>
      <c r="T15" s="25"/>
      <c r="U15" s="25"/>
      <c r="V15" s="25">
        <f>120400.78</f>
        <v>120400.78</v>
      </c>
      <c r="W15" s="25"/>
      <c r="X15" s="25"/>
      <c r="Y15" s="25"/>
      <c r="Z15" s="25"/>
      <c r="AA15" s="26">
        <f>177099.22</f>
        <v>177099.22</v>
      </c>
      <c r="AB15" s="26"/>
      <c r="AC15" s="26"/>
    </row>
    <row r="16" spans="1:29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7" t="s">
        <v>46</v>
      </c>
      <c r="T16" s="27"/>
      <c r="U16" s="27"/>
      <c r="V16" s="25">
        <f>-15776.02</f>
        <v>-15776.02</v>
      </c>
      <c r="W16" s="25"/>
      <c r="X16" s="25"/>
      <c r="Y16" s="25"/>
      <c r="Z16" s="25"/>
      <c r="AA16" s="28" t="s">
        <v>46</v>
      </c>
      <c r="AB16" s="28"/>
      <c r="AC16" s="28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12000000</f>
        <v>12000000</v>
      </c>
      <c r="T17" s="25"/>
      <c r="U17" s="25"/>
      <c r="V17" s="27" t="s">
        <v>46</v>
      </c>
      <c r="W17" s="27"/>
      <c r="X17" s="27"/>
      <c r="Y17" s="27"/>
      <c r="Z17" s="27"/>
      <c r="AA17" s="26">
        <f>12000000</f>
        <v>12000000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46</v>
      </c>
      <c r="T18" s="27"/>
      <c r="U18" s="27"/>
      <c r="V18" s="25">
        <f>6690538.37</f>
        <v>6690538.37</v>
      </c>
      <c r="W18" s="25"/>
      <c r="X18" s="25"/>
      <c r="Y18" s="25"/>
      <c r="Z18" s="25"/>
      <c r="AA18" s="28" t="s">
        <v>46</v>
      </c>
      <c r="AB18" s="28"/>
      <c r="AC18" s="28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46</v>
      </c>
      <c r="T19" s="27"/>
      <c r="U19" s="27"/>
      <c r="V19" s="25">
        <f>1689.19</f>
        <v>1689.19</v>
      </c>
      <c r="W19" s="25"/>
      <c r="X19" s="25"/>
      <c r="Y19" s="25"/>
      <c r="Z19" s="25"/>
      <c r="AA19" s="28" t="s">
        <v>46</v>
      </c>
      <c r="AB19" s="28"/>
      <c r="AC19" s="28"/>
    </row>
    <row r="20" spans="1:29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46</v>
      </c>
      <c r="T20" s="27"/>
      <c r="U20" s="27"/>
      <c r="V20" s="25">
        <f>1176.56</f>
        <v>1176.56</v>
      </c>
      <c r="W20" s="25"/>
      <c r="X20" s="25"/>
      <c r="Y20" s="25"/>
      <c r="Z20" s="25"/>
      <c r="AA20" s="28" t="s">
        <v>46</v>
      </c>
      <c r="AB20" s="28"/>
      <c r="AC20" s="28"/>
    </row>
    <row r="21" spans="1:29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7" t="s">
        <v>46</v>
      </c>
      <c r="W21" s="27"/>
      <c r="X21" s="27"/>
      <c r="Y21" s="27"/>
      <c r="Z21" s="27"/>
      <c r="AA21" s="26">
        <f>5000</f>
        <v>5000</v>
      </c>
      <c r="AB21" s="26"/>
      <c r="AC21" s="26"/>
    </row>
    <row r="22" spans="1:29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7" t="s">
        <v>46</v>
      </c>
      <c r="T22" s="27"/>
      <c r="U22" s="27"/>
      <c r="V22" s="25">
        <f>587.5</f>
        <v>587.5</v>
      </c>
      <c r="W22" s="25"/>
      <c r="X22" s="25"/>
      <c r="Y22" s="25"/>
      <c r="Z22" s="25"/>
      <c r="AA22" s="28" t="s">
        <v>46</v>
      </c>
      <c r="AB22" s="28"/>
      <c r="AC22" s="28"/>
    </row>
    <row r="23" spans="1:29" s="1" customFormat="1" ht="24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55</v>
      </c>
      <c r="Q23" s="24"/>
      <c r="R23" s="24"/>
      <c r="S23" s="27" t="s">
        <v>46</v>
      </c>
      <c r="T23" s="27"/>
      <c r="U23" s="27"/>
      <c r="V23" s="25">
        <f>16.73</f>
        <v>16.73</v>
      </c>
      <c r="W23" s="25"/>
      <c r="X23" s="25"/>
      <c r="Y23" s="25"/>
      <c r="Z23" s="25"/>
      <c r="AA23" s="28" t="s">
        <v>46</v>
      </c>
      <c r="AB23" s="28"/>
      <c r="AC23" s="28"/>
    </row>
    <row r="24" spans="1:29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5">
        <f>113000</f>
        <v>113000</v>
      </c>
      <c r="T24" s="25"/>
      <c r="U24" s="25"/>
      <c r="V24" s="27" t="s">
        <v>46</v>
      </c>
      <c r="W24" s="27"/>
      <c r="X24" s="27"/>
      <c r="Y24" s="27"/>
      <c r="Z24" s="27"/>
      <c r="AA24" s="26">
        <f>113000</f>
        <v>113000</v>
      </c>
      <c r="AB24" s="26"/>
      <c r="AC24" s="26"/>
    </row>
    <row r="25" spans="1:29" s="1" customFormat="1" ht="13.5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7" t="s">
        <v>46</v>
      </c>
      <c r="T25" s="27"/>
      <c r="U25" s="27"/>
      <c r="V25" s="25">
        <f>126650.51</f>
        <v>126650.51</v>
      </c>
      <c r="W25" s="25"/>
      <c r="X25" s="25"/>
      <c r="Y25" s="25"/>
      <c r="Z25" s="25"/>
      <c r="AA25" s="28" t="s">
        <v>46</v>
      </c>
      <c r="AB25" s="28"/>
      <c r="AC25" s="28"/>
    </row>
    <row r="26" spans="1:29" s="1" customFormat="1" ht="13.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59</v>
      </c>
      <c r="Q26" s="24"/>
      <c r="R26" s="24"/>
      <c r="S26" s="27" t="s">
        <v>46</v>
      </c>
      <c r="T26" s="27"/>
      <c r="U26" s="27"/>
      <c r="V26" s="25">
        <f>368.81</f>
        <v>368.81</v>
      </c>
      <c r="W26" s="25"/>
      <c r="X26" s="25"/>
      <c r="Y26" s="25"/>
      <c r="Z26" s="25"/>
      <c r="AA26" s="28" t="s">
        <v>46</v>
      </c>
      <c r="AB26" s="28"/>
      <c r="AC26" s="28"/>
    </row>
    <row r="27" spans="1:29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5">
        <f>300000</f>
        <v>300000</v>
      </c>
      <c r="T27" s="25"/>
      <c r="U27" s="25"/>
      <c r="V27" s="27" t="s">
        <v>46</v>
      </c>
      <c r="W27" s="27"/>
      <c r="X27" s="27"/>
      <c r="Y27" s="27"/>
      <c r="Z27" s="27"/>
      <c r="AA27" s="26">
        <f>300000</f>
        <v>300000</v>
      </c>
      <c r="AB27" s="26"/>
      <c r="AC27" s="26"/>
    </row>
    <row r="28" spans="1:29" s="1" customFormat="1" ht="33.7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63</v>
      </c>
      <c r="Q28" s="24"/>
      <c r="R28" s="24"/>
      <c r="S28" s="27" t="s">
        <v>46</v>
      </c>
      <c r="T28" s="27"/>
      <c r="U28" s="27"/>
      <c r="V28" s="25">
        <f>51271.86</f>
        <v>51271.86</v>
      </c>
      <c r="W28" s="25"/>
      <c r="X28" s="25"/>
      <c r="Y28" s="25"/>
      <c r="Z28" s="25"/>
      <c r="AA28" s="28" t="s">
        <v>46</v>
      </c>
      <c r="AB28" s="28"/>
      <c r="AC28" s="28"/>
    </row>
    <row r="29" spans="1:29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7" t="s">
        <v>46</v>
      </c>
      <c r="T29" s="27"/>
      <c r="U29" s="27"/>
      <c r="V29" s="25">
        <f>283.83</f>
        <v>283.83</v>
      </c>
      <c r="W29" s="25"/>
      <c r="X29" s="25"/>
      <c r="Y29" s="25"/>
      <c r="Z29" s="25"/>
      <c r="AA29" s="28" t="s">
        <v>46</v>
      </c>
      <c r="AB29" s="28"/>
      <c r="AC29" s="28"/>
    </row>
    <row r="30" spans="1:29" s="1" customFormat="1" ht="24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5">
        <f>120000</f>
        <v>120000</v>
      </c>
      <c r="T30" s="25"/>
      <c r="U30" s="25"/>
      <c r="V30" s="27" t="s">
        <v>46</v>
      </c>
      <c r="W30" s="27"/>
      <c r="X30" s="27"/>
      <c r="Y30" s="27"/>
      <c r="Z30" s="27"/>
      <c r="AA30" s="26">
        <f>120000</f>
        <v>120000</v>
      </c>
      <c r="AB30" s="26"/>
      <c r="AC30" s="26"/>
    </row>
    <row r="31" spans="1:29" s="1" customFormat="1" ht="24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68</v>
      </c>
      <c r="Q31" s="24"/>
      <c r="R31" s="24"/>
      <c r="S31" s="27" t="s">
        <v>46</v>
      </c>
      <c r="T31" s="27"/>
      <c r="U31" s="27"/>
      <c r="V31" s="25">
        <f>40182</f>
        <v>40182</v>
      </c>
      <c r="W31" s="25"/>
      <c r="X31" s="25"/>
      <c r="Y31" s="25"/>
      <c r="Z31" s="25"/>
      <c r="AA31" s="28" t="s">
        <v>46</v>
      </c>
      <c r="AB31" s="28"/>
      <c r="AC31" s="28"/>
    </row>
    <row r="32" spans="1:29" s="1" customFormat="1" ht="24" customHeight="1">
      <c r="A32" s="23" t="s">
        <v>69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70</v>
      </c>
      <c r="Q32" s="24"/>
      <c r="R32" s="24"/>
      <c r="S32" s="25">
        <f>5000</f>
        <v>5000</v>
      </c>
      <c r="T32" s="25"/>
      <c r="U32" s="25"/>
      <c r="V32" s="27" t="s">
        <v>46</v>
      </c>
      <c r="W32" s="27"/>
      <c r="X32" s="27"/>
      <c r="Y32" s="27"/>
      <c r="Z32" s="27"/>
      <c r="AA32" s="26">
        <f>5000</f>
        <v>5000</v>
      </c>
      <c r="AB32" s="26"/>
      <c r="AC32" s="26"/>
    </row>
    <row r="33" spans="1:29" s="1" customFormat="1" ht="24" customHeight="1">
      <c r="A33" s="23" t="s">
        <v>71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72</v>
      </c>
      <c r="Q33" s="24"/>
      <c r="R33" s="24"/>
      <c r="S33" s="27" t="s">
        <v>46</v>
      </c>
      <c r="T33" s="27"/>
      <c r="U33" s="27"/>
      <c r="V33" s="25">
        <f>3210.06</f>
        <v>3210.06</v>
      </c>
      <c r="W33" s="25"/>
      <c r="X33" s="25"/>
      <c r="Y33" s="25"/>
      <c r="Z33" s="25"/>
      <c r="AA33" s="28" t="s">
        <v>46</v>
      </c>
      <c r="AB33" s="28"/>
      <c r="AC33" s="28"/>
    </row>
    <row r="34" spans="1:29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73</v>
      </c>
      <c r="Q34" s="24"/>
      <c r="R34" s="24"/>
      <c r="S34" s="27" t="s">
        <v>46</v>
      </c>
      <c r="T34" s="27"/>
      <c r="U34" s="27"/>
      <c r="V34" s="25">
        <f>57.94</f>
        <v>57.94</v>
      </c>
      <c r="W34" s="25"/>
      <c r="X34" s="25"/>
      <c r="Y34" s="25"/>
      <c r="Z34" s="25"/>
      <c r="AA34" s="28" t="s">
        <v>46</v>
      </c>
      <c r="AB34" s="28"/>
      <c r="AC34" s="28"/>
    </row>
    <row r="35" spans="1:29" s="1" customFormat="1" ht="45" customHeight="1">
      <c r="A35" s="23" t="s">
        <v>74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75</v>
      </c>
      <c r="Q35" s="24"/>
      <c r="R35" s="24"/>
      <c r="S35" s="25">
        <f>15000</f>
        <v>15000</v>
      </c>
      <c r="T35" s="25"/>
      <c r="U35" s="25"/>
      <c r="V35" s="27" t="s">
        <v>46</v>
      </c>
      <c r="W35" s="27"/>
      <c r="X35" s="27"/>
      <c r="Y35" s="27"/>
      <c r="Z35" s="27"/>
      <c r="AA35" s="26">
        <f>15000</f>
        <v>15000</v>
      </c>
      <c r="AB35" s="26"/>
      <c r="AC35" s="26"/>
    </row>
    <row r="36" spans="1:29" s="1" customFormat="1" ht="45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76</v>
      </c>
      <c r="Q36" s="24"/>
      <c r="R36" s="24"/>
      <c r="S36" s="27" t="s">
        <v>46</v>
      </c>
      <c r="T36" s="27"/>
      <c r="U36" s="27"/>
      <c r="V36" s="25">
        <f>3710</f>
        <v>3710</v>
      </c>
      <c r="W36" s="25"/>
      <c r="X36" s="25"/>
      <c r="Y36" s="25"/>
      <c r="Z36" s="25"/>
      <c r="AA36" s="28" t="s">
        <v>46</v>
      </c>
      <c r="AB36" s="28"/>
      <c r="AC36" s="28"/>
    </row>
    <row r="37" spans="1:29" s="1" customFormat="1" ht="24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78</v>
      </c>
      <c r="Q37" s="24"/>
      <c r="R37" s="24"/>
      <c r="S37" s="25">
        <f>200000</f>
        <v>200000</v>
      </c>
      <c r="T37" s="25"/>
      <c r="U37" s="25"/>
      <c r="V37" s="25">
        <f>177943.41</f>
        <v>177943.41</v>
      </c>
      <c r="W37" s="25"/>
      <c r="X37" s="25"/>
      <c r="Y37" s="25"/>
      <c r="Z37" s="25"/>
      <c r="AA37" s="26">
        <f>22056.59</f>
        <v>22056.59</v>
      </c>
      <c r="AB37" s="26"/>
      <c r="AC37" s="26"/>
    </row>
    <row r="38" spans="1:29" s="1" customFormat="1" ht="45" customHeight="1">
      <c r="A38" s="23" t="s">
        <v>79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80</v>
      </c>
      <c r="Q38" s="24"/>
      <c r="R38" s="24"/>
      <c r="S38" s="25">
        <f>120000</f>
        <v>120000</v>
      </c>
      <c r="T38" s="25"/>
      <c r="U38" s="25"/>
      <c r="V38" s="25">
        <f>58607.88</f>
        <v>58607.88</v>
      </c>
      <c r="W38" s="25"/>
      <c r="X38" s="25"/>
      <c r="Y38" s="25"/>
      <c r="Z38" s="25"/>
      <c r="AA38" s="26">
        <f>61392.12</f>
        <v>61392.12</v>
      </c>
      <c r="AB38" s="26"/>
      <c r="AC38" s="26"/>
    </row>
    <row r="39" spans="1:29" s="1" customFormat="1" ht="13.5" customHeight="1">
      <c r="A39" s="23" t="s">
        <v>81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82</v>
      </c>
      <c r="Q39" s="24"/>
      <c r="R39" s="24"/>
      <c r="S39" s="27" t="s">
        <v>46</v>
      </c>
      <c r="T39" s="27"/>
      <c r="U39" s="27"/>
      <c r="V39" s="25">
        <f>261036.78</f>
        <v>261036.78</v>
      </c>
      <c r="W39" s="25"/>
      <c r="X39" s="25"/>
      <c r="Y39" s="25"/>
      <c r="Z39" s="25"/>
      <c r="AA39" s="28" t="s">
        <v>46</v>
      </c>
      <c r="AB39" s="28"/>
      <c r="AC39" s="28"/>
    </row>
    <row r="40" spans="1:29" s="1" customFormat="1" ht="13.5" customHeight="1">
      <c r="A40" s="2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84</v>
      </c>
      <c r="Q40" s="24"/>
      <c r="R40" s="24"/>
      <c r="S40" s="25">
        <f>3000000</f>
        <v>3000000</v>
      </c>
      <c r="T40" s="25"/>
      <c r="U40" s="25"/>
      <c r="V40" s="25">
        <f>1711208</f>
        <v>1711208</v>
      </c>
      <c r="W40" s="25"/>
      <c r="X40" s="25"/>
      <c r="Y40" s="25"/>
      <c r="Z40" s="25"/>
      <c r="AA40" s="26">
        <f>1288792</f>
        <v>1288792</v>
      </c>
      <c r="AB40" s="26"/>
      <c r="AC40" s="26"/>
    </row>
    <row r="41" spans="1:29" s="1" customFormat="1" ht="24" customHeight="1">
      <c r="A41" s="23" t="s">
        <v>85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86</v>
      </c>
      <c r="Q41" s="24"/>
      <c r="R41" s="24"/>
      <c r="S41" s="25">
        <f>5217700</f>
        <v>5217700</v>
      </c>
      <c r="T41" s="25"/>
      <c r="U41" s="25"/>
      <c r="V41" s="25">
        <f>2460810</f>
        <v>2460810</v>
      </c>
      <c r="W41" s="25"/>
      <c r="X41" s="25"/>
      <c r="Y41" s="25"/>
      <c r="Z41" s="25"/>
      <c r="AA41" s="26">
        <f>2756890</f>
        <v>2756890</v>
      </c>
      <c r="AB41" s="26"/>
      <c r="AC41" s="26"/>
    </row>
    <row r="42" spans="1:29" s="1" customFormat="1" ht="24" customHeight="1">
      <c r="A42" s="23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88</v>
      </c>
      <c r="Q42" s="24"/>
      <c r="R42" s="24"/>
      <c r="S42" s="25">
        <f>22082400</f>
        <v>22082400</v>
      </c>
      <c r="T42" s="25"/>
      <c r="U42" s="25"/>
      <c r="V42" s="25">
        <f>12850000</f>
        <v>12850000</v>
      </c>
      <c r="W42" s="25"/>
      <c r="X42" s="25"/>
      <c r="Y42" s="25"/>
      <c r="Z42" s="25"/>
      <c r="AA42" s="26">
        <f>9232400</f>
        <v>9232400</v>
      </c>
      <c r="AB42" s="26"/>
      <c r="AC42" s="26"/>
    </row>
    <row r="43" spans="1:29" s="1" customFormat="1" ht="24" customHeight="1">
      <c r="A43" s="23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90</v>
      </c>
      <c r="Q43" s="24"/>
      <c r="R43" s="24"/>
      <c r="S43" s="25">
        <f>795.17</f>
        <v>795.17</v>
      </c>
      <c r="T43" s="25"/>
      <c r="U43" s="25"/>
      <c r="V43" s="27" t="s">
        <v>46</v>
      </c>
      <c r="W43" s="27"/>
      <c r="X43" s="27"/>
      <c r="Y43" s="27"/>
      <c r="Z43" s="27"/>
      <c r="AA43" s="26">
        <f>795.17</f>
        <v>795.17</v>
      </c>
      <c r="AB43" s="26"/>
      <c r="AC43" s="26"/>
    </row>
    <row r="44" spans="1:29" s="1" customFormat="1" ht="24" customHeight="1">
      <c r="A44" s="23" t="s">
        <v>91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92</v>
      </c>
      <c r="Q44" s="24"/>
      <c r="R44" s="24"/>
      <c r="S44" s="25">
        <f>194000</f>
        <v>194000</v>
      </c>
      <c r="T44" s="25"/>
      <c r="U44" s="25"/>
      <c r="V44" s="25">
        <f>78904.9</f>
        <v>78904.9</v>
      </c>
      <c r="W44" s="25"/>
      <c r="X44" s="25"/>
      <c r="Y44" s="25"/>
      <c r="Z44" s="25"/>
      <c r="AA44" s="26">
        <f>115095.1</f>
        <v>115095.1</v>
      </c>
      <c r="AB44" s="26"/>
      <c r="AC44" s="26"/>
    </row>
    <row r="45" spans="1:29" s="1" customFormat="1" ht="24" customHeight="1">
      <c r="A45" s="23" t="s">
        <v>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94</v>
      </c>
      <c r="Q45" s="24"/>
      <c r="R45" s="24"/>
      <c r="S45" s="25">
        <f>3593295.93</f>
        <v>3593295.93</v>
      </c>
      <c r="T45" s="25"/>
      <c r="U45" s="25"/>
      <c r="V45" s="25">
        <f>183386.73</f>
        <v>183386.73</v>
      </c>
      <c r="W45" s="25"/>
      <c r="X45" s="25"/>
      <c r="Y45" s="25"/>
      <c r="Z45" s="25"/>
      <c r="AA45" s="26">
        <f>3409909.2</f>
        <v>3409909.2</v>
      </c>
      <c r="AB45" s="26"/>
      <c r="AC45" s="26"/>
    </row>
    <row r="46" spans="1:29" s="1" customFormat="1" ht="13.5" customHeight="1">
      <c r="A46" s="23" t="s">
        <v>95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96</v>
      </c>
      <c r="Q46" s="24"/>
      <c r="R46" s="24"/>
      <c r="S46" s="27" t="s">
        <v>46</v>
      </c>
      <c r="T46" s="27"/>
      <c r="U46" s="27"/>
      <c r="V46" s="25">
        <f>25000</f>
        <v>25000</v>
      </c>
      <c r="W46" s="25"/>
      <c r="X46" s="25"/>
      <c r="Y46" s="25"/>
      <c r="Z46" s="25"/>
      <c r="AA46" s="28" t="s">
        <v>46</v>
      </c>
      <c r="AB46" s="28"/>
      <c r="AC46" s="28"/>
    </row>
    <row r="47" spans="1:29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s="1" customFormat="1" ht="13.5" customHeight="1">
      <c r="A48" s="12" t="s">
        <v>97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24</v>
      </c>
      <c r="M49" s="13"/>
      <c r="N49" s="13"/>
      <c r="O49" s="13" t="s">
        <v>98</v>
      </c>
      <c r="P49" s="13"/>
      <c r="Q49" s="13"/>
      <c r="R49" s="14" t="s">
        <v>99</v>
      </c>
      <c r="S49" s="14"/>
      <c r="T49" s="14" t="s">
        <v>26</v>
      </c>
      <c r="U49" s="14"/>
      <c r="V49" s="14"/>
      <c r="W49" s="14" t="s">
        <v>27</v>
      </c>
      <c r="X49" s="14"/>
      <c r="Y49" s="14"/>
      <c r="Z49" s="14"/>
      <c r="AA49" s="14"/>
      <c r="AB49" s="15" t="s">
        <v>28</v>
      </c>
      <c r="AC49" s="15"/>
    </row>
    <row r="50" spans="1:29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30</v>
      </c>
      <c r="M50" s="16"/>
      <c r="N50" s="16"/>
      <c r="O50" s="16" t="s">
        <v>31</v>
      </c>
      <c r="P50" s="16"/>
      <c r="Q50" s="16"/>
      <c r="R50" s="17" t="s">
        <v>32</v>
      </c>
      <c r="S50" s="17"/>
      <c r="T50" s="17" t="s">
        <v>33</v>
      </c>
      <c r="U50" s="17"/>
      <c r="V50" s="17"/>
      <c r="W50" s="17" t="s">
        <v>34</v>
      </c>
      <c r="X50" s="17"/>
      <c r="Y50" s="17"/>
      <c r="Z50" s="17"/>
      <c r="AA50" s="17"/>
      <c r="AB50" s="18" t="s">
        <v>100</v>
      </c>
      <c r="AC50" s="18"/>
    </row>
    <row r="51" spans="1:29" s="1" customFormat="1" ht="13.5" customHeight="1">
      <c r="A51" s="19" t="s">
        <v>101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102</v>
      </c>
      <c r="M51" s="20"/>
      <c r="N51" s="20"/>
      <c r="O51" s="20" t="s">
        <v>37</v>
      </c>
      <c r="P51" s="20"/>
      <c r="Q51" s="20"/>
      <c r="R51" s="33" t="s">
        <v>37</v>
      </c>
      <c r="S51" s="33"/>
      <c r="T51" s="21">
        <f>52272260.45</f>
        <v>52272260.45</v>
      </c>
      <c r="U51" s="21"/>
      <c r="V51" s="21"/>
      <c r="W51" s="21">
        <f>22508134.24</f>
        <v>22508134.24</v>
      </c>
      <c r="X51" s="21"/>
      <c r="Y51" s="21"/>
      <c r="Z51" s="21"/>
      <c r="AA51" s="21"/>
      <c r="AB51" s="22">
        <f>29764126.21</f>
        <v>29764126.21</v>
      </c>
      <c r="AC51" s="22"/>
    </row>
    <row r="52" spans="1:29" s="1" customFormat="1" ht="13.5" customHeight="1">
      <c r="A52" s="35" t="s">
        <v>103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0" t="s">
        <v>102</v>
      </c>
      <c r="M52" s="30"/>
      <c r="N52" s="30"/>
      <c r="O52" s="30" t="s">
        <v>104</v>
      </c>
      <c r="P52" s="30"/>
      <c r="Q52" s="30"/>
      <c r="R52" s="31" t="s">
        <v>105</v>
      </c>
      <c r="S52" s="31"/>
      <c r="T52" s="32">
        <f>1100000</f>
        <v>1100000</v>
      </c>
      <c r="U52" s="32"/>
      <c r="V52" s="32"/>
      <c r="W52" s="32">
        <f>421597.15</f>
        <v>421597.15</v>
      </c>
      <c r="X52" s="32"/>
      <c r="Y52" s="32"/>
      <c r="Z52" s="32"/>
      <c r="AA52" s="32"/>
      <c r="AB52" s="34">
        <f>678402.85</f>
        <v>678402.85</v>
      </c>
      <c r="AC52" s="34"/>
    </row>
    <row r="53" spans="1:29" s="1" customFormat="1" ht="13.5" customHeight="1">
      <c r="A53" s="35" t="s">
        <v>106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0" t="s">
        <v>102</v>
      </c>
      <c r="M53" s="30"/>
      <c r="N53" s="30"/>
      <c r="O53" s="30" t="s">
        <v>107</v>
      </c>
      <c r="P53" s="30"/>
      <c r="Q53" s="30"/>
      <c r="R53" s="31" t="s">
        <v>108</v>
      </c>
      <c r="S53" s="31"/>
      <c r="T53" s="32">
        <f>92000</f>
        <v>92000</v>
      </c>
      <c r="U53" s="32"/>
      <c r="V53" s="32"/>
      <c r="W53" s="36" t="s">
        <v>46</v>
      </c>
      <c r="X53" s="36"/>
      <c r="Y53" s="36"/>
      <c r="Z53" s="36"/>
      <c r="AA53" s="36"/>
      <c r="AB53" s="34">
        <f>92000</f>
        <v>92000</v>
      </c>
      <c r="AC53" s="34"/>
    </row>
    <row r="54" spans="1:29" s="1" customFormat="1" ht="13.5" customHeight="1">
      <c r="A54" s="35" t="s">
        <v>109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0" t="s">
        <v>102</v>
      </c>
      <c r="M54" s="30"/>
      <c r="N54" s="30"/>
      <c r="O54" s="30" t="s">
        <v>110</v>
      </c>
      <c r="P54" s="30"/>
      <c r="Q54" s="30"/>
      <c r="R54" s="31" t="s">
        <v>111</v>
      </c>
      <c r="S54" s="31"/>
      <c r="T54" s="32">
        <f>308000</f>
        <v>308000</v>
      </c>
      <c r="U54" s="32"/>
      <c r="V54" s="32"/>
      <c r="W54" s="32">
        <f>118506.05</f>
        <v>118506.05</v>
      </c>
      <c r="X54" s="32"/>
      <c r="Y54" s="32"/>
      <c r="Z54" s="32"/>
      <c r="AA54" s="32"/>
      <c r="AB54" s="34">
        <f>189493.95</f>
        <v>189493.95</v>
      </c>
      <c r="AC54" s="34"/>
    </row>
    <row r="55" spans="1:29" s="1" customFormat="1" ht="13.5" customHeight="1">
      <c r="A55" s="35" t="s">
        <v>103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0" t="s">
        <v>102</v>
      </c>
      <c r="M55" s="30"/>
      <c r="N55" s="30"/>
      <c r="O55" s="30" t="s">
        <v>112</v>
      </c>
      <c r="P55" s="30"/>
      <c r="Q55" s="30"/>
      <c r="R55" s="31" t="s">
        <v>105</v>
      </c>
      <c r="S55" s="31"/>
      <c r="T55" s="32">
        <f>3910000</f>
        <v>3910000</v>
      </c>
      <c r="U55" s="32"/>
      <c r="V55" s="32"/>
      <c r="W55" s="32">
        <f>2284487.16</f>
        <v>2284487.16</v>
      </c>
      <c r="X55" s="32"/>
      <c r="Y55" s="32"/>
      <c r="Z55" s="32"/>
      <c r="AA55" s="32"/>
      <c r="AB55" s="34">
        <f>1625512.84</f>
        <v>1625512.84</v>
      </c>
      <c r="AC55" s="34"/>
    </row>
    <row r="56" spans="1:29" s="1" customFormat="1" ht="13.5" customHeight="1">
      <c r="A56" s="35" t="s">
        <v>106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0" t="s">
        <v>102</v>
      </c>
      <c r="M56" s="30"/>
      <c r="N56" s="30"/>
      <c r="O56" s="30" t="s">
        <v>113</v>
      </c>
      <c r="P56" s="30"/>
      <c r="Q56" s="30"/>
      <c r="R56" s="31" t="s">
        <v>108</v>
      </c>
      <c r="S56" s="31"/>
      <c r="T56" s="32">
        <f>390000</f>
        <v>390000</v>
      </c>
      <c r="U56" s="32"/>
      <c r="V56" s="32"/>
      <c r="W56" s="32">
        <f>262000</f>
        <v>262000</v>
      </c>
      <c r="X56" s="32"/>
      <c r="Y56" s="32"/>
      <c r="Z56" s="32"/>
      <c r="AA56" s="32"/>
      <c r="AB56" s="34">
        <f>128000</f>
        <v>128000</v>
      </c>
      <c r="AC56" s="34"/>
    </row>
    <row r="57" spans="1:29" s="1" customFormat="1" ht="13.5" customHeight="1">
      <c r="A57" s="35" t="s">
        <v>114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0" t="s">
        <v>102</v>
      </c>
      <c r="M57" s="30"/>
      <c r="N57" s="30"/>
      <c r="O57" s="30" t="s">
        <v>113</v>
      </c>
      <c r="P57" s="30"/>
      <c r="Q57" s="30"/>
      <c r="R57" s="31" t="s">
        <v>115</v>
      </c>
      <c r="S57" s="31"/>
      <c r="T57" s="32">
        <f>100000</f>
        <v>100000</v>
      </c>
      <c r="U57" s="32"/>
      <c r="V57" s="32"/>
      <c r="W57" s="36" t="s">
        <v>46</v>
      </c>
      <c r="X57" s="36"/>
      <c r="Y57" s="36"/>
      <c r="Z57" s="36"/>
      <c r="AA57" s="36"/>
      <c r="AB57" s="34">
        <f>100000</f>
        <v>100000</v>
      </c>
      <c r="AC57" s="34"/>
    </row>
    <row r="58" spans="1:29" s="1" customFormat="1" ht="13.5" customHeight="1">
      <c r="A58" s="35" t="s">
        <v>116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0" t="s">
        <v>102</v>
      </c>
      <c r="M58" s="30"/>
      <c r="N58" s="30"/>
      <c r="O58" s="30" t="s">
        <v>113</v>
      </c>
      <c r="P58" s="30"/>
      <c r="Q58" s="30"/>
      <c r="R58" s="31" t="s">
        <v>117</v>
      </c>
      <c r="S58" s="31"/>
      <c r="T58" s="32">
        <f>35000</f>
        <v>35000</v>
      </c>
      <c r="U58" s="32"/>
      <c r="V58" s="32"/>
      <c r="W58" s="32">
        <f>5617.68</f>
        <v>5617.68</v>
      </c>
      <c r="X58" s="32"/>
      <c r="Y58" s="32"/>
      <c r="Z58" s="32"/>
      <c r="AA58" s="32"/>
      <c r="AB58" s="34">
        <f>29382.32</f>
        <v>29382.32</v>
      </c>
      <c r="AC58" s="34"/>
    </row>
    <row r="59" spans="1:29" s="1" customFormat="1" ht="13.5" customHeight="1">
      <c r="A59" s="35" t="s">
        <v>109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0" t="s">
        <v>102</v>
      </c>
      <c r="M59" s="30"/>
      <c r="N59" s="30"/>
      <c r="O59" s="30" t="s">
        <v>118</v>
      </c>
      <c r="P59" s="30"/>
      <c r="Q59" s="30"/>
      <c r="R59" s="31" t="s">
        <v>111</v>
      </c>
      <c r="S59" s="31"/>
      <c r="T59" s="32">
        <f>1090000</f>
        <v>1090000</v>
      </c>
      <c r="U59" s="32"/>
      <c r="V59" s="32"/>
      <c r="W59" s="32">
        <f>687216.05</f>
        <v>687216.05</v>
      </c>
      <c r="X59" s="32"/>
      <c r="Y59" s="32"/>
      <c r="Z59" s="32"/>
      <c r="AA59" s="32"/>
      <c r="AB59" s="34">
        <f>402783.95</f>
        <v>402783.95</v>
      </c>
      <c r="AC59" s="34"/>
    </row>
    <row r="60" spans="1:29" s="1" customFormat="1" ht="13.5" customHeight="1">
      <c r="A60" s="35" t="s">
        <v>119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0" t="s">
        <v>102</v>
      </c>
      <c r="M60" s="30"/>
      <c r="N60" s="30"/>
      <c r="O60" s="30" t="s">
        <v>120</v>
      </c>
      <c r="P60" s="30"/>
      <c r="Q60" s="30"/>
      <c r="R60" s="31" t="s">
        <v>121</v>
      </c>
      <c r="S60" s="31"/>
      <c r="T60" s="32">
        <f>47000</f>
        <v>47000</v>
      </c>
      <c r="U60" s="32"/>
      <c r="V60" s="32"/>
      <c r="W60" s="32">
        <f>2607</f>
        <v>2607</v>
      </c>
      <c r="X60" s="32"/>
      <c r="Y60" s="32"/>
      <c r="Z60" s="32"/>
      <c r="AA60" s="32"/>
      <c r="AB60" s="34">
        <f>44393</f>
        <v>44393</v>
      </c>
      <c r="AC60" s="34"/>
    </row>
    <row r="61" spans="1:29" s="1" customFormat="1" ht="24" customHeight="1">
      <c r="A61" s="35" t="s">
        <v>122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0" t="s">
        <v>102</v>
      </c>
      <c r="M61" s="30"/>
      <c r="N61" s="30"/>
      <c r="O61" s="30" t="s">
        <v>123</v>
      </c>
      <c r="P61" s="30"/>
      <c r="Q61" s="30"/>
      <c r="R61" s="31" t="s">
        <v>124</v>
      </c>
      <c r="S61" s="31"/>
      <c r="T61" s="32">
        <f>3000</f>
        <v>3000</v>
      </c>
      <c r="U61" s="32"/>
      <c r="V61" s="32"/>
      <c r="W61" s="32">
        <f>18.14</f>
        <v>18.14</v>
      </c>
      <c r="X61" s="32"/>
      <c r="Y61" s="32"/>
      <c r="Z61" s="32"/>
      <c r="AA61" s="32"/>
      <c r="AB61" s="34">
        <f>2981.86</f>
        <v>2981.86</v>
      </c>
      <c r="AC61" s="34"/>
    </row>
    <row r="62" spans="1:29" s="1" customFormat="1" ht="13.5" customHeight="1">
      <c r="A62" s="35" t="s">
        <v>125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0" t="s">
        <v>102</v>
      </c>
      <c r="M62" s="30"/>
      <c r="N62" s="30"/>
      <c r="O62" s="30" t="s">
        <v>126</v>
      </c>
      <c r="P62" s="30"/>
      <c r="Q62" s="30"/>
      <c r="R62" s="31" t="s">
        <v>127</v>
      </c>
      <c r="S62" s="31"/>
      <c r="T62" s="32">
        <f>30000</f>
        <v>30000</v>
      </c>
      <c r="U62" s="32"/>
      <c r="V62" s="32"/>
      <c r="W62" s="32">
        <f>10200</f>
        <v>10200</v>
      </c>
      <c r="X62" s="32"/>
      <c r="Y62" s="32"/>
      <c r="Z62" s="32"/>
      <c r="AA62" s="32"/>
      <c r="AB62" s="34">
        <f>19800</f>
        <v>19800</v>
      </c>
      <c r="AC62" s="34"/>
    </row>
    <row r="63" spans="1:29" s="1" customFormat="1" ht="13.5" customHeight="1">
      <c r="A63" s="35" t="s">
        <v>125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0" t="s">
        <v>102</v>
      </c>
      <c r="M63" s="30"/>
      <c r="N63" s="30"/>
      <c r="O63" s="30" t="s">
        <v>128</v>
      </c>
      <c r="P63" s="30"/>
      <c r="Q63" s="30"/>
      <c r="R63" s="31" t="s">
        <v>127</v>
      </c>
      <c r="S63" s="31"/>
      <c r="T63" s="32">
        <f>30000</f>
        <v>30000</v>
      </c>
      <c r="U63" s="32"/>
      <c r="V63" s="32"/>
      <c r="W63" s="62">
        <v>5369</v>
      </c>
      <c r="X63" s="62"/>
      <c r="Y63" s="62"/>
      <c r="Z63" s="62"/>
      <c r="AA63" s="62"/>
      <c r="AB63" s="34">
        <f>30000</f>
        <v>30000</v>
      </c>
      <c r="AC63" s="34"/>
    </row>
    <row r="64" spans="1:29" s="1" customFormat="1" ht="13.5" customHeight="1">
      <c r="A64" s="35" t="s">
        <v>125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0" t="s">
        <v>102</v>
      </c>
      <c r="M64" s="30"/>
      <c r="N64" s="30"/>
      <c r="O64" s="30" t="s">
        <v>129</v>
      </c>
      <c r="P64" s="30"/>
      <c r="Q64" s="30"/>
      <c r="R64" s="31" t="s">
        <v>127</v>
      </c>
      <c r="S64" s="31"/>
      <c r="T64" s="32">
        <f>0</f>
        <v>0</v>
      </c>
      <c r="U64" s="32"/>
      <c r="V64" s="32"/>
      <c r="W64" s="32">
        <v>0</v>
      </c>
      <c r="X64" s="32"/>
      <c r="Y64" s="32"/>
      <c r="Z64" s="32"/>
      <c r="AA64" s="32"/>
      <c r="AB64" s="37" t="s">
        <v>46</v>
      </c>
      <c r="AC64" s="37"/>
    </row>
    <row r="65" spans="1:29" s="1" customFormat="1" ht="13.5" customHeight="1">
      <c r="A65" s="35" t="s">
        <v>130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0" t="s">
        <v>102</v>
      </c>
      <c r="M65" s="30"/>
      <c r="N65" s="30"/>
      <c r="O65" s="30" t="s">
        <v>131</v>
      </c>
      <c r="P65" s="30"/>
      <c r="Q65" s="30"/>
      <c r="R65" s="31" t="s">
        <v>132</v>
      </c>
      <c r="S65" s="31"/>
      <c r="T65" s="32">
        <f>50000</f>
        <v>50000</v>
      </c>
      <c r="U65" s="32"/>
      <c r="V65" s="32"/>
      <c r="W65" s="36" t="s">
        <v>46</v>
      </c>
      <c r="X65" s="36"/>
      <c r="Y65" s="36"/>
      <c r="Z65" s="36"/>
      <c r="AA65" s="36"/>
      <c r="AB65" s="34">
        <f>50000</f>
        <v>50000</v>
      </c>
      <c r="AC65" s="34"/>
    </row>
    <row r="66" spans="1:29" s="1" customFormat="1" ht="13.5" customHeight="1">
      <c r="A66" s="35" t="s">
        <v>125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0" t="s">
        <v>102</v>
      </c>
      <c r="M66" s="30"/>
      <c r="N66" s="30"/>
      <c r="O66" s="30" t="s">
        <v>133</v>
      </c>
      <c r="P66" s="30"/>
      <c r="Q66" s="30"/>
      <c r="R66" s="31" t="s">
        <v>127</v>
      </c>
      <c r="S66" s="31"/>
      <c r="T66" s="32">
        <f>50000</f>
        <v>50000</v>
      </c>
      <c r="U66" s="32"/>
      <c r="V66" s="32"/>
      <c r="W66" s="32">
        <f>4800</f>
        <v>4800</v>
      </c>
      <c r="X66" s="32"/>
      <c r="Y66" s="32"/>
      <c r="Z66" s="32"/>
      <c r="AA66" s="32"/>
      <c r="AB66" s="34">
        <f>45200</f>
        <v>45200</v>
      </c>
      <c r="AC66" s="34"/>
    </row>
    <row r="67" spans="1:29" s="1" customFormat="1" ht="13.5" customHeight="1">
      <c r="A67" s="35" t="s">
        <v>103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0" t="s">
        <v>102</v>
      </c>
      <c r="M67" s="30"/>
      <c r="N67" s="30"/>
      <c r="O67" s="30" t="s">
        <v>134</v>
      </c>
      <c r="P67" s="30"/>
      <c r="Q67" s="30"/>
      <c r="R67" s="31" t="s">
        <v>105</v>
      </c>
      <c r="S67" s="31"/>
      <c r="T67" s="32">
        <f>4070000</f>
        <v>4070000</v>
      </c>
      <c r="U67" s="32"/>
      <c r="V67" s="32"/>
      <c r="W67" s="32">
        <f>2293944.1</f>
        <v>2293944.1</v>
      </c>
      <c r="X67" s="32"/>
      <c r="Y67" s="32"/>
      <c r="Z67" s="32"/>
      <c r="AA67" s="32"/>
      <c r="AB67" s="34">
        <f>1776055.9</f>
        <v>1776055.9</v>
      </c>
      <c r="AC67" s="34"/>
    </row>
    <row r="68" spans="1:29" s="1" customFormat="1" ht="13.5" customHeight="1">
      <c r="A68" s="35" t="s">
        <v>114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0" t="s">
        <v>102</v>
      </c>
      <c r="M68" s="30"/>
      <c r="N68" s="30"/>
      <c r="O68" s="30" t="s">
        <v>135</v>
      </c>
      <c r="P68" s="30"/>
      <c r="Q68" s="30"/>
      <c r="R68" s="31" t="s">
        <v>115</v>
      </c>
      <c r="S68" s="31"/>
      <c r="T68" s="32">
        <f>200000</f>
        <v>200000</v>
      </c>
      <c r="U68" s="32"/>
      <c r="V68" s="32"/>
      <c r="W68" s="32">
        <f>104150.16</f>
        <v>104150.16</v>
      </c>
      <c r="X68" s="32"/>
      <c r="Y68" s="32"/>
      <c r="Z68" s="32"/>
      <c r="AA68" s="32"/>
      <c r="AB68" s="34">
        <f>95849.84</f>
        <v>95849.84</v>
      </c>
      <c r="AC68" s="34"/>
    </row>
    <row r="69" spans="1:29" s="1" customFormat="1" ht="13.5" customHeight="1">
      <c r="A69" s="35" t="s">
        <v>116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0" t="s">
        <v>102</v>
      </c>
      <c r="M69" s="30"/>
      <c r="N69" s="30"/>
      <c r="O69" s="30" t="s">
        <v>135</v>
      </c>
      <c r="P69" s="30"/>
      <c r="Q69" s="30"/>
      <c r="R69" s="31" t="s">
        <v>117</v>
      </c>
      <c r="S69" s="31"/>
      <c r="T69" s="32">
        <f>45000</f>
        <v>45000</v>
      </c>
      <c r="U69" s="32"/>
      <c r="V69" s="32"/>
      <c r="W69" s="32">
        <f>8081.87</f>
        <v>8081.87</v>
      </c>
      <c r="X69" s="32"/>
      <c r="Y69" s="32"/>
      <c r="Z69" s="32"/>
      <c r="AA69" s="32"/>
      <c r="AB69" s="34">
        <f>36918.13</f>
        <v>36918.13</v>
      </c>
      <c r="AC69" s="34"/>
    </row>
    <row r="70" spans="1:29" s="1" customFormat="1" ht="13.5" customHeight="1">
      <c r="A70" s="35" t="s">
        <v>109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0" t="s">
        <v>102</v>
      </c>
      <c r="M70" s="30"/>
      <c r="N70" s="30"/>
      <c r="O70" s="30" t="s">
        <v>136</v>
      </c>
      <c r="P70" s="30"/>
      <c r="Q70" s="30"/>
      <c r="R70" s="31" t="s">
        <v>111</v>
      </c>
      <c r="S70" s="31"/>
      <c r="T70" s="32">
        <f>1210000</f>
        <v>1210000</v>
      </c>
      <c r="U70" s="32"/>
      <c r="V70" s="32"/>
      <c r="W70" s="32">
        <f>730721.07</f>
        <v>730721.07</v>
      </c>
      <c r="X70" s="32"/>
      <c r="Y70" s="32"/>
      <c r="Z70" s="32"/>
      <c r="AA70" s="32"/>
      <c r="AB70" s="34">
        <f>479278.93</f>
        <v>479278.93</v>
      </c>
      <c r="AC70" s="34"/>
    </row>
    <row r="71" spans="1:29" s="1" customFormat="1" ht="13.5" customHeight="1">
      <c r="A71" s="35" t="s">
        <v>137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0" t="s">
        <v>102</v>
      </c>
      <c r="M71" s="30"/>
      <c r="N71" s="30"/>
      <c r="O71" s="30" t="s">
        <v>138</v>
      </c>
      <c r="P71" s="30"/>
      <c r="Q71" s="30"/>
      <c r="R71" s="31" t="s">
        <v>139</v>
      </c>
      <c r="S71" s="31"/>
      <c r="T71" s="32">
        <f>20000</f>
        <v>20000</v>
      </c>
      <c r="U71" s="32"/>
      <c r="V71" s="32"/>
      <c r="W71" s="32">
        <f>10000</f>
        <v>10000</v>
      </c>
      <c r="X71" s="32"/>
      <c r="Y71" s="32"/>
      <c r="Z71" s="32"/>
      <c r="AA71" s="32"/>
      <c r="AB71" s="34">
        <f>10000</f>
        <v>10000</v>
      </c>
      <c r="AC71" s="34"/>
    </row>
    <row r="72" spans="1:29" s="1" customFormat="1" ht="13.5" customHeight="1">
      <c r="A72" s="35" t="s">
        <v>140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0" t="s">
        <v>102</v>
      </c>
      <c r="M72" s="30"/>
      <c r="N72" s="30"/>
      <c r="O72" s="30" t="s">
        <v>138</v>
      </c>
      <c r="P72" s="30"/>
      <c r="Q72" s="30"/>
      <c r="R72" s="31" t="s">
        <v>141</v>
      </c>
      <c r="S72" s="31"/>
      <c r="T72" s="32">
        <f>1024957.88</f>
        <v>1024957.88</v>
      </c>
      <c r="U72" s="32"/>
      <c r="V72" s="32"/>
      <c r="W72" s="32">
        <f>503448.94</f>
        <v>503448.94</v>
      </c>
      <c r="X72" s="32"/>
      <c r="Y72" s="32"/>
      <c r="Z72" s="32"/>
      <c r="AA72" s="32"/>
      <c r="AB72" s="34">
        <f>521508.94</f>
        <v>521508.94</v>
      </c>
      <c r="AC72" s="34"/>
    </row>
    <row r="73" spans="1:29" s="1" customFormat="1" ht="13.5" customHeight="1">
      <c r="A73" s="35" t="s">
        <v>142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0" t="s">
        <v>102</v>
      </c>
      <c r="M73" s="30"/>
      <c r="N73" s="30"/>
      <c r="O73" s="30" t="s">
        <v>138</v>
      </c>
      <c r="P73" s="30"/>
      <c r="Q73" s="30"/>
      <c r="R73" s="31" t="s">
        <v>143</v>
      </c>
      <c r="S73" s="31"/>
      <c r="T73" s="32">
        <f>710042.12</f>
        <v>710042.12</v>
      </c>
      <c r="U73" s="32"/>
      <c r="V73" s="32"/>
      <c r="W73" s="32">
        <f>232066.1</f>
        <v>232066.1</v>
      </c>
      <c r="X73" s="32"/>
      <c r="Y73" s="32"/>
      <c r="Z73" s="32"/>
      <c r="AA73" s="32"/>
      <c r="AB73" s="34">
        <f>477976.02</f>
        <v>477976.02</v>
      </c>
      <c r="AC73" s="34"/>
    </row>
    <row r="74" spans="1:29" s="1" customFormat="1" ht="13.5" customHeight="1">
      <c r="A74" s="35" t="s">
        <v>125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0" t="s">
        <v>102</v>
      </c>
      <c r="M74" s="30"/>
      <c r="N74" s="30"/>
      <c r="O74" s="30" t="s">
        <v>138</v>
      </c>
      <c r="P74" s="30"/>
      <c r="Q74" s="30"/>
      <c r="R74" s="31" t="s">
        <v>127</v>
      </c>
      <c r="S74" s="31"/>
      <c r="T74" s="32">
        <f>300000</f>
        <v>300000</v>
      </c>
      <c r="U74" s="32"/>
      <c r="V74" s="32"/>
      <c r="W74" s="32">
        <f>165617.07</f>
        <v>165617.07</v>
      </c>
      <c r="X74" s="32"/>
      <c r="Y74" s="32"/>
      <c r="Z74" s="32"/>
      <c r="AA74" s="32"/>
      <c r="AB74" s="34">
        <f>134382.93</f>
        <v>134382.93</v>
      </c>
      <c r="AC74" s="34"/>
    </row>
    <row r="75" spans="1:29" s="1" customFormat="1" ht="13.5" customHeight="1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0" t="s">
        <v>102</v>
      </c>
      <c r="M75" s="30"/>
      <c r="N75" s="30"/>
      <c r="O75" s="30" t="s">
        <v>138</v>
      </c>
      <c r="P75" s="30"/>
      <c r="Q75" s="30"/>
      <c r="R75" s="31" t="s">
        <v>145</v>
      </c>
      <c r="S75" s="31"/>
      <c r="T75" s="32">
        <f>50000</f>
        <v>50000</v>
      </c>
      <c r="U75" s="32"/>
      <c r="V75" s="32"/>
      <c r="W75" s="32">
        <f>13827.13</f>
        <v>13827.13</v>
      </c>
      <c r="X75" s="32"/>
      <c r="Y75" s="32"/>
      <c r="Z75" s="32"/>
      <c r="AA75" s="32"/>
      <c r="AB75" s="34">
        <f>36172.87</f>
        <v>36172.87</v>
      </c>
      <c r="AC75" s="34"/>
    </row>
    <row r="76" spans="1:29" s="1" customFormat="1" ht="13.5" customHeight="1">
      <c r="A76" s="35" t="s">
        <v>146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0" t="s">
        <v>102</v>
      </c>
      <c r="M76" s="30"/>
      <c r="N76" s="30"/>
      <c r="O76" s="30" t="s">
        <v>138</v>
      </c>
      <c r="P76" s="30"/>
      <c r="Q76" s="30"/>
      <c r="R76" s="31" t="s">
        <v>147</v>
      </c>
      <c r="S76" s="31"/>
      <c r="T76" s="32">
        <f>185000</f>
        <v>185000</v>
      </c>
      <c r="U76" s="32"/>
      <c r="V76" s="32"/>
      <c r="W76" s="32">
        <f>116069</f>
        <v>116069</v>
      </c>
      <c r="X76" s="32"/>
      <c r="Y76" s="32"/>
      <c r="Z76" s="32"/>
      <c r="AA76" s="32"/>
      <c r="AB76" s="34">
        <f>68931</f>
        <v>68931</v>
      </c>
      <c r="AC76" s="34"/>
    </row>
    <row r="77" spans="1:29" s="1" customFormat="1" ht="13.5" customHeight="1">
      <c r="A77" s="35" t="s">
        <v>148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0" t="s">
        <v>102</v>
      </c>
      <c r="M77" s="30"/>
      <c r="N77" s="30"/>
      <c r="O77" s="30" t="s">
        <v>138</v>
      </c>
      <c r="P77" s="30"/>
      <c r="Q77" s="30"/>
      <c r="R77" s="31" t="s">
        <v>149</v>
      </c>
      <c r="S77" s="31"/>
      <c r="T77" s="32">
        <f>440000</f>
        <v>440000</v>
      </c>
      <c r="U77" s="32"/>
      <c r="V77" s="32"/>
      <c r="W77" s="32">
        <f>200000</f>
        <v>200000</v>
      </c>
      <c r="X77" s="32"/>
      <c r="Y77" s="32"/>
      <c r="Z77" s="32"/>
      <c r="AA77" s="32"/>
      <c r="AB77" s="34">
        <f>240000</f>
        <v>240000</v>
      </c>
      <c r="AC77" s="34"/>
    </row>
    <row r="78" spans="1:29" s="1" customFormat="1" ht="13.5" customHeight="1">
      <c r="A78" s="35" t="s">
        <v>150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0" t="s">
        <v>102</v>
      </c>
      <c r="M78" s="30"/>
      <c r="N78" s="30"/>
      <c r="O78" s="30" t="s">
        <v>138</v>
      </c>
      <c r="P78" s="30"/>
      <c r="Q78" s="30"/>
      <c r="R78" s="31" t="s">
        <v>151</v>
      </c>
      <c r="S78" s="31"/>
      <c r="T78" s="32">
        <f>27630</f>
        <v>27630</v>
      </c>
      <c r="U78" s="32"/>
      <c r="V78" s="32"/>
      <c r="W78" s="32">
        <f>14130</f>
        <v>14130</v>
      </c>
      <c r="X78" s="32"/>
      <c r="Y78" s="32"/>
      <c r="Z78" s="32"/>
      <c r="AA78" s="32"/>
      <c r="AB78" s="34">
        <f>13500</f>
        <v>13500</v>
      </c>
      <c r="AC78" s="34"/>
    </row>
    <row r="79" spans="1:29" s="1" customFormat="1" ht="13.5" customHeight="1">
      <c r="A79" s="35" t="s">
        <v>152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0" t="s">
        <v>102</v>
      </c>
      <c r="M79" s="30"/>
      <c r="N79" s="30"/>
      <c r="O79" s="30" t="s">
        <v>138</v>
      </c>
      <c r="P79" s="30"/>
      <c r="Q79" s="30"/>
      <c r="R79" s="31" t="s">
        <v>153</v>
      </c>
      <c r="S79" s="31"/>
      <c r="T79" s="32">
        <f>652370</f>
        <v>652370</v>
      </c>
      <c r="U79" s="32"/>
      <c r="V79" s="32"/>
      <c r="W79" s="32">
        <f>461591.32</f>
        <v>461591.32</v>
      </c>
      <c r="X79" s="32"/>
      <c r="Y79" s="32"/>
      <c r="Z79" s="32"/>
      <c r="AA79" s="32"/>
      <c r="AB79" s="34">
        <f>190778.68</f>
        <v>190778.68</v>
      </c>
      <c r="AC79" s="34"/>
    </row>
    <row r="80" spans="1:29" s="1" customFormat="1" ht="24" customHeight="1">
      <c r="A80" s="35" t="s">
        <v>154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0" t="s">
        <v>102</v>
      </c>
      <c r="M80" s="30"/>
      <c r="N80" s="30"/>
      <c r="O80" s="30" t="s">
        <v>138</v>
      </c>
      <c r="P80" s="30"/>
      <c r="Q80" s="30"/>
      <c r="R80" s="31" t="s">
        <v>155</v>
      </c>
      <c r="S80" s="31"/>
      <c r="T80" s="32">
        <f>182071</f>
        <v>182071</v>
      </c>
      <c r="U80" s="32"/>
      <c r="V80" s="32"/>
      <c r="W80" s="32">
        <f>161502</f>
        <v>161502</v>
      </c>
      <c r="X80" s="32"/>
      <c r="Y80" s="32"/>
      <c r="Z80" s="32"/>
      <c r="AA80" s="32"/>
      <c r="AB80" s="34">
        <f>20569</f>
        <v>20569</v>
      </c>
      <c r="AC80" s="34"/>
    </row>
    <row r="81" spans="1:29" s="1" customFormat="1" ht="13.5" customHeight="1">
      <c r="A81" s="35" t="s">
        <v>130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0" t="s">
        <v>102</v>
      </c>
      <c r="M81" s="30"/>
      <c r="N81" s="30"/>
      <c r="O81" s="30" t="s">
        <v>156</v>
      </c>
      <c r="P81" s="30"/>
      <c r="Q81" s="30"/>
      <c r="R81" s="31" t="s">
        <v>132</v>
      </c>
      <c r="S81" s="31"/>
      <c r="T81" s="32">
        <f>50000</f>
        <v>50000</v>
      </c>
      <c r="U81" s="32"/>
      <c r="V81" s="32"/>
      <c r="W81" s="36" t="s">
        <v>46</v>
      </c>
      <c r="X81" s="36"/>
      <c r="Y81" s="36"/>
      <c r="Z81" s="36"/>
      <c r="AA81" s="36"/>
      <c r="AB81" s="34">
        <f>50000</f>
        <v>50000</v>
      </c>
      <c r="AC81" s="34"/>
    </row>
    <row r="82" spans="1:29" s="1" customFormat="1" ht="13.5" customHeight="1">
      <c r="A82" s="35" t="s">
        <v>119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0" t="s">
        <v>102</v>
      </c>
      <c r="M82" s="30"/>
      <c r="N82" s="30"/>
      <c r="O82" s="30" t="s">
        <v>157</v>
      </c>
      <c r="P82" s="30"/>
      <c r="Q82" s="30"/>
      <c r="R82" s="31" t="s">
        <v>121</v>
      </c>
      <c r="S82" s="31"/>
      <c r="T82" s="32">
        <f>15000</f>
        <v>15000</v>
      </c>
      <c r="U82" s="32"/>
      <c r="V82" s="32"/>
      <c r="W82" s="32">
        <f>4475</f>
        <v>4475</v>
      </c>
      <c r="X82" s="32"/>
      <c r="Y82" s="32"/>
      <c r="Z82" s="32"/>
      <c r="AA82" s="32"/>
      <c r="AB82" s="34">
        <f>10525</f>
        <v>10525</v>
      </c>
      <c r="AC82" s="34"/>
    </row>
    <row r="83" spans="1:29" s="1" customFormat="1" ht="13.5" customHeight="1">
      <c r="A83" s="35" t="s">
        <v>119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0" t="s">
        <v>102</v>
      </c>
      <c r="M83" s="30"/>
      <c r="N83" s="30"/>
      <c r="O83" s="30" t="s">
        <v>158</v>
      </c>
      <c r="P83" s="30"/>
      <c r="Q83" s="30"/>
      <c r="R83" s="31" t="s">
        <v>121</v>
      </c>
      <c r="S83" s="31"/>
      <c r="T83" s="32">
        <f>35000</f>
        <v>35000</v>
      </c>
      <c r="U83" s="32"/>
      <c r="V83" s="32"/>
      <c r="W83" s="32">
        <f>400</f>
        <v>400</v>
      </c>
      <c r="X83" s="32"/>
      <c r="Y83" s="32"/>
      <c r="Z83" s="32"/>
      <c r="AA83" s="32"/>
      <c r="AB83" s="34">
        <f>34600</f>
        <v>34600</v>
      </c>
      <c r="AC83" s="34"/>
    </row>
    <row r="84" spans="1:29" s="1" customFormat="1" ht="24" customHeight="1">
      <c r="A84" s="35" t="s">
        <v>122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0" t="s">
        <v>102</v>
      </c>
      <c r="M84" s="30"/>
      <c r="N84" s="30"/>
      <c r="O84" s="30" t="s">
        <v>159</v>
      </c>
      <c r="P84" s="30"/>
      <c r="Q84" s="30"/>
      <c r="R84" s="31" t="s">
        <v>124</v>
      </c>
      <c r="S84" s="31"/>
      <c r="T84" s="32">
        <f>15000</f>
        <v>15000</v>
      </c>
      <c r="U84" s="32"/>
      <c r="V84" s="32"/>
      <c r="W84" s="32">
        <f>16.2</f>
        <v>16.2</v>
      </c>
      <c r="X84" s="32"/>
      <c r="Y84" s="32"/>
      <c r="Z84" s="32"/>
      <c r="AA84" s="32"/>
      <c r="AB84" s="34">
        <f>14983.8</f>
        <v>14983.8</v>
      </c>
      <c r="AC84" s="34"/>
    </row>
    <row r="85" spans="1:29" s="1" customFormat="1" ht="13.5" customHeight="1">
      <c r="A85" s="35" t="s">
        <v>125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0" t="s">
        <v>102</v>
      </c>
      <c r="M85" s="30"/>
      <c r="N85" s="30"/>
      <c r="O85" s="30" t="s">
        <v>160</v>
      </c>
      <c r="P85" s="30"/>
      <c r="Q85" s="30"/>
      <c r="R85" s="31" t="s">
        <v>127</v>
      </c>
      <c r="S85" s="31"/>
      <c r="T85" s="32">
        <f>70000</f>
        <v>70000</v>
      </c>
      <c r="U85" s="32"/>
      <c r="V85" s="32"/>
      <c r="W85" s="32">
        <f>64345.8</f>
        <v>64345.8</v>
      </c>
      <c r="X85" s="32"/>
      <c r="Y85" s="32"/>
      <c r="Z85" s="32"/>
      <c r="AA85" s="32"/>
      <c r="AB85" s="34">
        <f>5654.2</f>
        <v>5654.2</v>
      </c>
      <c r="AC85" s="34"/>
    </row>
    <row r="86" spans="1:29" s="1" customFormat="1" ht="13.5" customHeight="1">
      <c r="A86" s="35" t="s">
        <v>119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0" t="s">
        <v>102</v>
      </c>
      <c r="M86" s="30"/>
      <c r="N86" s="30"/>
      <c r="O86" s="30" t="s">
        <v>161</v>
      </c>
      <c r="P86" s="30"/>
      <c r="Q86" s="30"/>
      <c r="R86" s="31" t="s">
        <v>121</v>
      </c>
      <c r="S86" s="31"/>
      <c r="T86" s="32">
        <f>350000</f>
        <v>350000</v>
      </c>
      <c r="U86" s="32"/>
      <c r="V86" s="32"/>
      <c r="W86" s="32">
        <f>151200</f>
        <v>151200</v>
      </c>
      <c r="X86" s="32"/>
      <c r="Y86" s="32"/>
      <c r="Z86" s="32"/>
      <c r="AA86" s="32"/>
      <c r="AB86" s="34">
        <f>198800</f>
        <v>198800</v>
      </c>
      <c r="AC86" s="34"/>
    </row>
    <row r="87" spans="1:29" s="1" customFormat="1" ht="13.5" customHeight="1">
      <c r="A87" s="35" t="s">
        <v>103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0" t="s">
        <v>102</v>
      </c>
      <c r="M87" s="30"/>
      <c r="N87" s="30"/>
      <c r="O87" s="30" t="s">
        <v>162</v>
      </c>
      <c r="P87" s="30"/>
      <c r="Q87" s="30"/>
      <c r="R87" s="31" t="s">
        <v>105</v>
      </c>
      <c r="S87" s="31"/>
      <c r="T87" s="32">
        <f>149000</f>
        <v>149000</v>
      </c>
      <c r="U87" s="32"/>
      <c r="V87" s="32"/>
      <c r="W87" s="32">
        <f>49033.01</f>
        <v>49033.01</v>
      </c>
      <c r="X87" s="32"/>
      <c r="Y87" s="32"/>
      <c r="Z87" s="32"/>
      <c r="AA87" s="32"/>
      <c r="AB87" s="34">
        <f>99966.99</f>
        <v>99966.99</v>
      </c>
      <c r="AC87" s="34"/>
    </row>
    <row r="88" spans="1:29" s="1" customFormat="1" ht="13.5" customHeight="1">
      <c r="A88" s="35" t="s">
        <v>109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0" t="s">
        <v>102</v>
      </c>
      <c r="M88" s="30"/>
      <c r="N88" s="30"/>
      <c r="O88" s="30" t="s">
        <v>163</v>
      </c>
      <c r="P88" s="30"/>
      <c r="Q88" s="30"/>
      <c r="R88" s="31" t="s">
        <v>111</v>
      </c>
      <c r="S88" s="31"/>
      <c r="T88" s="32">
        <f>45000</f>
        <v>45000</v>
      </c>
      <c r="U88" s="32"/>
      <c r="V88" s="32"/>
      <c r="W88" s="32">
        <f>14076.5</f>
        <v>14076.5</v>
      </c>
      <c r="X88" s="32"/>
      <c r="Y88" s="32"/>
      <c r="Z88" s="32"/>
      <c r="AA88" s="32"/>
      <c r="AB88" s="34">
        <f>30923.5</f>
        <v>30923.5</v>
      </c>
      <c r="AC88" s="34"/>
    </row>
    <row r="89" spans="1:29" s="1" customFormat="1" ht="13.5" customHeight="1">
      <c r="A89" s="35" t="s">
        <v>125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0" t="s">
        <v>102</v>
      </c>
      <c r="M89" s="30"/>
      <c r="N89" s="30"/>
      <c r="O89" s="30" t="s">
        <v>164</v>
      </c>
      <c r="P89" s="30"/>
      <c r="Q89" s="30"/>
      <c r="R89" s="31" t="s">
        <v>127</v>
      </c>
      <c r="S89" s="31"/>
      <c r="T89" s="32">
        <f>21076.73</f>
        <v>21076.73</v>
      </c>
      <c r="U89" s="32"/>
      <c r="V89" s="32"/>
      <c r="W89" s="36" t="s">
        <v>46</v>
      </c>
      <c r="X89" s="36"/>
      <c r="Y89" s="36"/>
      <c r="Z89" s="36"/>
      <c r="AA89" s="36"/>
      <c r="AB89" s="34">
        <f>21076.73</f>
        <v>21076.73</v>
      </c>
      <c r="AC89" s="34"/>
    </row>
    <row r="90" spans="1:29" s="1" customFormat="1" ht="13.5" customHeight="1">
      <c r="A90" s="35" t="s">
        <v>142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0" t="s">
        <v>102</v>
      </c>
      <c r="M90" s="30"/>
      <c r="N90" s="30"/>
      <c r="O90" s="30" t="s">
        <v>165</v>
      </c>
      <c r="P90" s="30"/>
      <c r="Q90" s="30"/>
      <c r="R90" s="31" t="s">
        <v>143</v>
      </c>
      <c r="S90" s="31"/>
      <c r="T90" s="32">
        <f>100000</f>
        <v>100000</v>
      </c>
      <c r="U90" s="32"/>
      <c r="V90" s="32"/>
      <c r="W90" s="32">
        <f>11000</f>
        <v>11000</v>
      </c>
      <c r="X90" s="32"/>
      <c r="Y90" s="32"/>
      <c r="Z90" s="32"/>
      <c r="AA90" s="32"/>
      <c r="AB90" s="34">
        <f>89000</f>
        <v>89000</v>
      </c>
      <c r="AC90" s="34"/>
    </row>
    <row r="91" spans="1:29" s="1" customFormat="1" ht="24" customHeight="1">
      <c r="A91" s="35" t="s">
        <v>154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0" t="s">
        <v>102</v>
      </c>
      <c r="M91" s="30"/>
      <c r="N91" s="30"/>
      <c r="O91" s="30" t="s">
        <v>166</v>
      </c>
      <c r="P91" s="30"/>
      <c r="Q91" s="30"/>
      <c r="R91" s="31" t="s">
        <v>155</v>
      </c>
      <c r="S91" s="31"/>
      <c r="T91" s="32">
        <f>5000</f>
        <v>5000</v>
      </c>
      <c r="U91" s="32"/>
      <c r="V91" s="32"/>
      <c r="W91" s="36" t="s">
        <v>46</v>
      </c>
      <c r="X91" s="36"/>
      <c r="Y91" s="36"/>
      <c r="Z91" s="36"/>
      <c r="AA91" s="36"/>
      <c r="AB91" s="34">
        <f>5000</f>
        <v>5000</v>
      </c>
      <c r="AC91" s="34"/>
    </row>
    <row r="92" spans="1:29" s="1" customFormat="1" ht="13.5" customHeight="1">
      <c r="A92" s="35" t="s">
        <v>106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0" t="s">
        <v>102</v>
      </c>
      <c r="M92" s="30"/>
      <c r="N92" s="30"/>
      <c r="O92" s="30" t="s">
        <v>167</v>
      </c>
      <c r="P92" s="30"/>
      <c r="Q92" s="30"/>
      <c r="R92" s="31" t="s">
        <v>108</v>
      </c>
      <c r="S92" s="31"/>
      <c r="T92" s="32">
        <f>13609.2</f>
        <v>13609.2</v>
      </c>
      <c r="U92" s="32"/>
      <c r="V92" s="32"/>
      <c r="W92" s="36" t="s">
        <v>46</v>
      </c>
      <c r="X92" s="36"/>
      <c r="Y92" s="36"/>
      <c r="Z92" s="36"/>
      <c r="AA92" s="36"/>
      <c r="AB92" s="34">
        <f>13609.2</f>
        <v>13609.2</v>
      </c>
      <c r="AC92" s="34"/>
    </row>
    <row r="93" spans="1:29" s="1" customFormat="1" ht="13.5" customHeight="1">
      <c r="A93" s="35" t="s">
        <v>106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0" t="s">
        <v>102</v>
      </c>
      <c r="M93" s="30"/>
      <c r="N93" s="30"/>
      <c r="O93" s="30" t="s">
        <v>168</v>
      </c>
      <c r="P93" s="30"/>
      <c r="Q93" s="30"/>
      <c r="R93" s="31" t="s">
        <v>108</v>
      </c>
      <c r="S93" s="31"/>
      <c r="T93" s="32">
        <f>13609.2</f>
        <v>13609.2</v>
      </c>
      <c r="U93" s="32"/>
      <c r="V93" s="32"/>
      <c r="W93" s="36" t="s">
        <v>46</v>
      </c>
      <c r="X93" s="36"/>
      <c r="Y93" s="36"/>
      <c r="Z93" s="36"/>
      <c r="AA93" s="36"/>
      <c r="AB93" s="34">
        <f>13609.2</f>
        <v>13609.2</v>
      </c>
      <c r="AC93" s="34"/>
    </row>
    <row r="94" spans="1:29" s="1" customFormat="1" ht="13.5" customHeight="1">
      <c r="A94" s="35" t="s">
        <v>142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0" t="s">
        <v>102</v>
      </c>
      <c r="M94" s="30"/>
      <c r="N94" s="30"/>
      <c r="O94" s="30" t="s">
        <v>169</v>
      </c>
      <c r="P94" s="30"/>
      <c r="Q94" s="30"/>
      <c r="R94" s="31" t="s">
        <v>143</v>
      </c>
      <c r="S94" s="31"/>
      <c r="T94" s="32">
        <f>240000</f>
        <v>240000</v>
      </c>
      <c r="U94" s="32"/>
      <c r="V94" s="32"/>
      <c r="W94" s="32">
        <f>67500</f>
        <v>67500</v>
      </c>
      <c r="X94" s="32"/>
      <c r="Y94" s="32"/>
      <c r="Z94" s="32"/>
      <c r="AA94" s="32"/>
      <c r="AB94" s="34">
        <f>172500</f>
        <v>172500</v>
      </c>
      <c r="AC94" s="34"/>
    </row>
    <row r="95" spans="1:29" s="1" customFormat="1" ht="13.5" customHeight="1">
      <c r="A95" s="35" t="s">
        <v>142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0" t="s">
        <v>102</v>
      </c>
      <c r="M95" s="30"/>
      <c r="N95" s="30"/>
      <c r="O95" s="30" t="s">
        <v>170</v>
      </c>
      <c r="P95" s="30"/>
      <c r="Q95" s="30"/>
      <c r="R95" s="31" t="s">
        <v>143</v>
      </c>
      <c r="S95" s="31"/>
      <c r="T95" s="32">
        <f>1601235.06</f>
        <v>1601235.06</v>
      </c>
      <c r="U95" s="32"/>
      <c r="V95" s="32"/>
      <c r="W95" s="32">
        <f>600000</f>
        <v>600000</v>
      </c>
      <c r="X95" s="32"/>
      <c r="Y95" s="32"/>
      <c r="Z95" s="32"/>
      <c r="AA95" s="32"/>
      <c r="AB95" s="34">
        <f>1001235.06</f>
        <v>1001235.06</v>
      </c>
      <c r="AC95" s="34"/>
    </row>
    <row r="96" spans="1:29" s="1" customFormat="1" ht="13.5" customHeight="1">
      <c r="A96" s="35" t="s">
        <v>146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0" t="s">
        <v>102</v>
      </c>
      <c r="M96" s="30"/>
      <c r="N96" s="30"/>
      <c r="O96" s="30" t="s">
        <v>170</v>
      </c>
      <c r="P96" s="30"/>
      <c r="Q96" s="30"/>
      <c r="R96" s="31" t="s">
        <v>147</v>
      </c>
      <c r="S96" s="31"/>
      <c r="T96" s="32">
        <f>25410</f>
        <v>25410</v>
      </c>
      <c r="U96" s="32"/>
      <c r="V96" s="32"/>
      <c r="W96" s="32">
        <f>3600</f>
        <v>3600</v>
      </c>
      <c r="X96" s="32"/>
      <c r="Y96" s="32"/>
      <c r="Z96" s="32"/>
      <c r="AA96" s="32"/>
      <c r="AB96" s="34">
        <f>21810</f>
        <v>21810</v>
      </c>
      <c r="AC96" s="34"/>
    </row>
    <row r="97" spans="1:29" s="1" customFormat="1" ht="13.5" customHeight="1">
      <c r="A97" s="35" t="s">
        <v>137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0" t="s">
        <v>102</v>
      </c>
      <c r="M97" s="30"/>
      <c r="N97" s="30"/>
      <c r="O97" s="30" t="s">
        <v>171</v>
      </c>
      <c r="P97" s="30"/>
      <c r="Q97" s="30"/>
      <c r="R97" s="31" t="s">
        <v>139</v>
      </c>
      <c r="S97" s="31"/>
      <c r="T97" s="32">
        <f>300000</f>
        <v>300000</v>
      </c>
      <c r="U97" s="32"/>
      <c r="V97" s="32"/>
      <c r="W97" s="32">
        <f>109694.92</f>
        <v>109694.92</v>
      </c>
      <c r="X97" s="32"/>
      <c r="Y97" s="32"/>
      <c r="Z97" s="32"/>
      <c r="AA97" s="32"/>
      <c r="AB97" s="34">
        <f>190305.08</f>
        <v>190305.08</v>
      </c>
      <c r="AC97" s="34"/>
    </row>
    <row r="98" spans="1:29" s="1" customFormat="1" ht="13.5" customHeight="1">
      <c r="A98" s="35" t="s">
        <v>142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0" t="s">
        <v>102</v>
      </c>
      <c r="M98" s="30"/>
      <c r="N98" s="30"/>
      <c r="O98" s="30" t="s">
        <v>171</v>
      </c>
      <c r="P98" s="30"/>
      <c r="Q98" s="30"/>
      <c r="R98" s="31" t="s">
        <v>143</v>
      </c>
      <c r="S98" s="31"/>
      <c r="T98" s="32">
        <f>205000</f>
        <v>205000</v>
      </c>
      <c r="U98" s="32"/>
      <c r="V98" s="32"/>
      <c r="W98" s="32">
        <f>125400</f>
        <v>125400</v>
      </c>
      <c r="X98" s="32"/>
      <c r="Y98" s="32"/>
      <c r="Z98" s="32"/>
      <c r="AA98" s="32"/>
      <c r="AB98" s="34">
        <f>79600</f>
        <v>79600</v>
      </c>
      <c r="AC98" s="34"/>
    </row>
    <row r="99" spans="1:29" s="1" customFormat="1" ht="13.5" customHeight="1">
      <c r="A99" s="35" t="s">
        <v>125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0" t="s">
        <v>102</v>
      </c>
      <c r="M99" s="30"/>
      <c r="N99" s="30"/>
      <c r="O99" s="30" t="s">
        <v>171</v>
      </c>
      <c r="P99" s="30"/>
      <c r="Q99" s="30"/>
      <c r="R99" s="31" t="s">
        <v>127</v>
      </c>
      <c r="S99" s="31"/>
      <c r="T99" s="32">
        <f>500000</f>
        <v>500000</v>
      </c>
      <c r="U99" s="32"/>
      <c r="V99" s="32"/>
      <c r="W99" s="32">
        <f>364996.84</f>
        <v>364996.84</v>
      </c>
      <c r="X99" s="32"/>
      <c r="Y99" s="32"/>
      <c r="Z99" s="32"/>
      <c r="AA99" s="32"/>
      <c r="AB99" s="34">
        <f>135003.16</f>
        <v>135003.16</v>
      </c>
      <c r="AC99" s="34"/>
    </row>
    <row r="100" spans="1:29" s="1" customFormat="1" ht="13.5" customHeight="1">
      <c r="A100" s="35" t="s">
        <v>146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0" t="s">
        <v>102</v>
      </c>
      <c r="M100" s="30"/>
      <c r="N100" s="30"/>
      <c r="O100" s="30" t="s">
        <v>171</v>
      </c>
      <c r="P100" s="30"/>
      <c r="Q100" s="30"/>
      <c r="R100" s="31" t="s">
        <v>147</v>
      </c>
      <c r="S100" s="31"/>
      <c r="T100" s="32">
        <f>90000</f>
        <v>90000</v>
      </c>
      <c r="U100" s="32"/>
      <c r="V100" s="32"/>
      <c r="W100" s="32">
        <f>80091</f>
        <v>80091</v>
      </c>
      <c r="X100" s="32"/>
      <c r="Y100" s="32"/>
      <c r="Z100" s="32"/>
      <c r="AA100" s="32"/>
      <c r="AB100" s="34">
        <f>9909</f>
        <v>9909</v>
      </c>
      <c r="AC100" s="34"/>
    </row>
    <row r="101" spans="1:29" s="1" customFormat="1" ht="13.5" customHeight="1">
      <c r="A101" s="35" t="s">
        <v>152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0" t="s">
        <v>102</v>
      </c>
      <c r="M101" s="30"/>
      <c r="N101" s="30"/>
      <c r="O101" s="30" t="s">
        <v>171</v>
      </c>
      <c r="P101" s="30"/>
      <c r="Q101" s="30"/>
      <c r="R101" s="31" t="s">
        <v>153</v>
      </c>
      <c r="S101" s="31"/>
      <c r="T101" s="32">
        <f>70000</f>
        <v>70000</v>
      </c>
      <c r="U101" s="32"/>
      <c r="V101" s="32"/>
      <c r="W101" s="32">
        <f>33025</f>
        <v>33025</v>
      </c>
      <c r="X101" s="32"/>
      <c r="Y101" s="32"/>
      <c r="Z101" s="32"/>
      <c r="AA101" s="32"/>
      <c r="AB101" s="34">
        <f>36975</f>
        <v>36975</v>
      </c>
      <c r="AC101" s="34"/>
    </row>
    <row r="102" spans="1:29" s="1" customFormat="1" ht="13.5" customHeight="1">
      <c r="A102" s="35" t="s">
        <v>125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0" t="s">
        <v>102</v>
      </c>
      <c r="M102" s="30"/>
      <c r="N102" s="30"/>
      <c r="O102" s="30" t="s">
        <v>172</v>
      </c>
      <c r="P102" s="30"/>
      <c r="Q102" s="30"/>
      <c r="R102" s="31" t="s">
        <v>127</v>
      </c>
      <c r="S102" s="31"/>
      <c r="T102" s="32">
        <f>99810</f>
        <v>99810</v>
      </c>
      <c r="U102" s="32"/>
      <c r="V102" s="32"/>
      <c r="W102" s="36" t="s">
        <v>46</v>
      </c>
      <c r="X102" s="36"/>
      <c r="Y102" s="36"/>
      <c r="Z102" s="36"/>
      <c r="AA102" s="36"/>
      <c r="AB102" s="34">
        <f>99810</f>
        <v>99810</v>
      </c>
      <c r="AC102" s="34"/>
    </row>
    <row r="103" spans="1:29" s="1" customFormat="1" ht="13.5" customHeight="1">
      <c r="A103" s="35" t="s">
        <v>140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0" t="s">
        <v>102</v>
      </c>
      <c r="M103" s="30"/>
      <c r="N103" s="30"/>
      <c r="O103" s="30" t="s">
        <v>173</v>
      </c>
      <c r="P103" s="30"/>
      <c r="Q103" s="30"/>
      <c r="R103" s="31" t="s">
        <v>141</v>
      </c>
      <c r="S103" s="31"/>
      <c r="T103" s="32">
        <f>115487.21</f>
        <v>115487.21</v>
      </c>
      <c r="U103" s="32"/>
      <c r="V103" s="32"/>
      <c r="W103" s="32">
        <f>63786.34</f>
        <v>63786.34</v>
      </c>
      <c r="X103" s="32"/>
      <c r="Y103" s="32"/>
      <c r="Z103" s="32"/>
      <c r="AA103" s="32"/>
      <c r="AB103" s="34">
        <f>51700.87</f>
        <v>51700.87</v>
      </c>
      <c r="AC103" s="34"/>
    </row>
    <row r="104" spans="1:29" s="1" customFormat="1" ht="13.5" customHeight="1">
      <c r="A104" s="35" t="s">
        <v>142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0" t="s">
        <v>102</v>
      </c>
      <c r="M104" s="30"/>
      <c r="N104" s="30"/>
      <c r="O104" s="30" t="s">
        <v>173</v>
      </c>
      <c r="P104" s="30"/>
      <c r="Q104" s="30"/>
      <c r="R104" s="31" t="s">
        <v>143</v>
      </c>
      <c r="S104" s="31"/>
      <c r="T104" s="32">
        <f>180000</f>
        <v>180000</v>
      </c>
      <c r="U104" s="32"/>
      <c r="V104" s="32"/>
      <c r="W104" s="32">
        <f>92412.3</f>
        <v>92412.3</v>
      </c>
      <c r="X104" s="32"/>
      <c r="Y104" s="32"/>
      <c r="Z104" s="32"/>
      <c r="AA104" s="32"/>
      <c r="AB104" s="34">
        <f>87587.7</f>
        <v>87587.7</v>
      </c>
      <c r="AC104" s="34"/>
    </row>
    <row r="105" spans="1:29" s="1" customFormat="1" ht="13.5" customHeight="1">
      <c r="A105" s="35" t="s">
        <v>125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0" t="s">
        <v>102</v>
      </c>
      <c r="M105" s="30"/>
      <c r="N105" s="30"/>
      <c r="O105" s="30" t="s">
        <v>173</v>
      </c>
      <c r="P105" s="30"/>
      <c r="Q105" s="30"/>
      <c r="R105" s="31" t="s">
        <v>127</v>
      </c>
      <c r="S105" s="31"/>
      <c r="T105" s="32">
        <f>54512.79</f>
        <v>54512.79</v>
      </c>
      <c r="U105" s="32"/>
      <c r="V105" s="32"/>
      <c r="W105" s="32">
        <f>34000</f>
        <v>34000</v>
      </c>
      <c r="X105" s="32"/>
      <c r="Y105" s="32"/>
      <c r="Z105" s="32"/>
      <c r="AA105" s="32"/>
      <c r="AB105" s="34">
        <f>20512.79</f>
        <v>20512.79</v>
      </c>
      <c r="AC105" s="34"/>
    </row>
    <row r="106" spans="1:29" s="1" customFormat="1" ht="13.5" customHeight="1">
      <c r="A106" s="35" t="s">
        <v>125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0" t="s">
        <v>102</v>
      </c>
      <c r="M106" s="30"/>
      <c r="N106" s="30"/>
      <c r="O106" s="30" t="s">
        <v>174</v>
      </c>
      <c r="P106" s="30"/>
      <c r="Q106" s="30"/>
      <c r="R106" s="31" t="s">
        <v>127</v>
      </c>
      <c r="S106" s="31"/>
      <c r="T106" s="32">
        <f>3000000</f>
        <v>3000000</v>
      </c>
      <c r="U106" s="32"/>
      <c r="V106" s="32"/>
      <c r="W106" s="36" t="s">
        <v>46</v>
      </c>
      <c r="X106" s="36"/>
      <c r="Y106" s="36"/>
      <c r="Z106" s="36"/>
      <c r="AA106" s="36"/>
      <c r="AB106" s="34">
        <f>3000000</f>
        <v>3000000</v>
      </c>
      <c r="AC106" s="34"/>
    </row>
    <row r="107" spans="1:29" s="1" customFormat="1" ht="13.5" customHeight="1">
      <c r="A107" s="35" t="s">
        <v>125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0" t="s">
        <v>102</v>
      </c>
      <c r="M107" s="30"/>
      <c r="N107" s="30"/>
      <c r="O107" s="30" t="s">
        <v>175</v>
      </c>
      <c r="P107" s="30"/>
      <c r="Q107" s="30"/>
      <c r="R107" s="31" t="s">
        <v>127</v>
      </c>
      <c r="S107" s="31"/>
      <c r="T107" s="32">
        <f>336230</f>
        <v>336230</v>
      </c>
      <c r="U107" s="32"/>
      <c r="V107" s="32"/>
      <c r="W107" s="36" t="s">
        <v>46</v>
      </c>
      <c r="X107" s="36"/>
      <c r="Y107" s="36"/>
      <c r="Z107" s="36"/>
      <c r="AA107" s="36"/>
      <c r="AB107" s="34">
        <f>336230</f>
        <v>336230</v>
      </c>
      <c r="AC107" s="34"/>
    </row>
    <row r="108" spans="1:29" s="1" customFormat="1" ht="13.5" customHeight="1">
      <c r="A108" s="35" t="s">
        <v>125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0" t="s">
        <v>102</v>
      </c>
      <c r="M108" s="30"/>
      <c r="N108" s="30"/>
      <c r="O108" s="30" t="s">
        <v>176</v>
      </c>
      <c r="P108" s="30"/>
      <c r="Q108" s="30"/>
      <c r="R108" s="31" t="s">
        <v>127</v>
      </c>
      <c r="S108" s="31"/>
      <c r="T108" s="32">
        <f>396300</f>
        <v>396300</v>
      </c>
      <c r="U108" s="32"/>
      <c r="V108" s="32"/>
      <c r="W108" s="36" t="s">
        <v>46</v>
      </c>
      <c r="X108" s="36"/>
      <c r="Y108" s="36"/>
      <c r="Z108" s="36"/>
      <c r="AA108" s="36"/>
      <c r="AB108" s="34">
        <f>396300</f>
        <v>396300</v>
      </c>
      <c r="AC108" s="34"/>
    </row>
    <row r="109" spans="1:29" s="1" customFormat="1" ht="13.5" customHeight="1">
      <c r="A109" s="35" t="s">
        <v>140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0" t="s">
        <v>102</v>
      </c>
      <c r="M109" s="30"/>
      <c r="N109" s="30"/>
      <c r="O109" s="30" t="s">
        <v>177</v>
      </c>
      <c r="P109" s="30"/>
      <c r="Q109" s="30"/>
      <c r="R109" s="31" t="s">
        <v>141</v>
      </c>
      <c r="S109" s="31"/>
      <c r="T109" s="32">
        <f>192582.83</f>
        <v>192582.83</v>
      </c>
      <c r="U109" s="32"/>
      <c r="V109" s="32"/>
      <c r="W109" s="32">
        <f>81043.4</f>
        <v>81043.4</v>
      </c>
      <c r="X109" s="32"/>
      <c r="Y109" s="32"/>
      <c r="Z109" s="32"/>
      <c r="AA109" s="32"/>
      <c r="AB109" s="34">
        <f>111539.43</f>
        <v>111539.43</v>
      </c>
      <c r="AC109" s="34"/>
    </row>
    <row r="110" spans="1:29" s="1" customFormat="1" ht="13.5" customHeight="1">
      <c r="A110" s="35" t="s">
        <v>142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0" t="s">
        <v>102</v>
      </c>
      <c r="M110" s="30"/>
      <c r="N110" s="30"/>
      <c r="O110" s="30" t="s">
        <v>177</v>
      </c>
      <c r="P110" s="30"/>
      <c r="Q110" s="30"/>
      <c r="R110" s="31" t="s">
        <v>143</v>
      </c>
      <c r="S110" s="31"/>
      <c r="T110" s="32">
        <f>620000</f>
        <v>620000</v>
      </c>
      <c r="U110" s="32"/>
      <c r="V110" s="32"/>
      <c r="W110" s="32">
        <f>127166.64</f>
        <v>127166.64</v>
      </c>
      <c r="X110" s="32"/>
      <c r="Y110" s="32"/>
      <c r="Z110" s="32"/>
      <c r="AA110" s="32"/>
      <c r="AB110" s="34">
        <f>492833.36</f>
        <v>492833.36</v>
      </c>
      <c r="AC110" s="34"/>
    </row>
    <row r="111" spans="1:29" s="1" customFormat="1" ht="13.5" customHeight="1">
      <c r="A111" s="35" t="s">
        <v>125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0" t="s">
        <v>102</v>
      </c>
      <c r="M111" s="30"/>
      <c r="N111" s="30"/>
      <c r="O111" s="30" t="s">
        <v>177</v>
      </c>
      <c r="P111" s="30"/>
      <c r="Q111" s="30"/>
      <c r="R111" s="31" t="s">
        <v>127</v>
      </c>
      <c r="S111" s="31"/>
      <c r="T111" s="32">
        <f>4186758.26</f>
        <v>4186758.26</v>
      </c>
      <c r="U111" s="32"/>
      <c r="V111" s="32"/>
      <c r="W111" s="32">
        <f>327420</f>
        <v>327420</v>
      </c>
      <c r="X111" s="32"/>
      <c r="Y111" s="32"/>
      <c r="Z111" s="32"/>
      <c r="AA111" s="32"/>
      <c r="AB111" s="34">
        <f>3859338.26</f>
        <v>3859338.26</v>
      </c>
      <c r="AC111" s="34"/>
    </row>
    <row r="112" spans="1:29" s="1" customFormat="1" ht="13.5" customHeight="1">
      <c r="A112" s="35" t="s">
        <v>146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0" t="s">
        <v>102</v>
      </c>
      <c r="M112" s="30"/>
      <c r="N112" s="30"/>
      <c r="O112" s="30" t="s">
        <v>177</v>
      </c>
      <c r="P112" s="30"/>
      <c r="Q112" s="30"/>
      <c r="R112" s="31" t="s">
        <v>147</v>
      </c>
      <c r="S112" s="31"/>
      <c r="T112" s="32">
        <f>917000</f>
        <v>917000</v>
      </c>
      <c r="U112" s="32"/>
      <c r="V112" s="32"/>
      <c r="W112" s="32">
        <f>328630</f>
        <v>328630</v>
      </c>
      <c r="X112" s="32"/>
      <c r="Y112" s="32"/>
      <c r="Z112" s="32"/>
      <c r="AA112" s="32"/>
      <c r="AB112" s="34">
        <f>588370</f>
        <v>588370</v>
      </c>
      <c r="AC112" s="34"/>
    </row>
    <row r="113" spans="1:29" s="1" customFormat="1" ht="13.5" customHeight="1">
      <c r="A113" s="35" t="s">
        <v>152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0" t="s">
        <v>102</v>
      </c>
      <c r="M113" s="30"/>
      <c r="N113" s="30"/>
      <c r="O113" s="30" t="s">
        <v>177</v>
      </c>
      <c r="P113" s="30"/>
      <c r="Q113" s="30"/>
      <c r="R113" s="31" t="s">
        <v>153</v>
      </c>
      <c r="S113" s="31"/>
      <c r="T113" s="32">
        <f>80000</f>
        <v>80000</v>
      </c>
      <c r="U113" s="32"/>
      <c r="V113" s="32"/>
      <c r="W113" s="32">
        <f>79092</f>
        <v>79092</v>
      </c>
      <c r="X113" s="32"/>
      <c r="Y113" s="32"/>
      <c r="Z113" s="32"/>
      <c r="AA113" s="32"/>
      <c r="AB113" s="34">
        <f>908</f>
        <v>908</v>
      </c>
      <c r="AC113" s="34"/>
    </row>
    <row r="114" spans="1:29" s="1" customFormat="1" ht="13.5" customHeight="1">
      <c r="A114" s="35" t="s">
        <v>152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0" t="s">
        <v>102</v>
      </c>
      <c r="M114" s="30"/>
      <c r="N114" s="30"/>
      <c r="O114" s="30" t="s">
        <v>178</v>
      </c>
      <c r="P114" s="30"/>
      <c r="Q114" s="30"/>
      <c r="R114" s="31" t="s">
        <v>153</v>
      </c>
      <c r="S114" s="31"/>
      <c r="T114" s="32">
        <f>795.17</f>
        <v>795.17</v>
      </c>
      <c r="U114" s="32"/>
      <c r="V114" s="32"/>
      <c r="W114" s="36" t="s">
        <v>46</v>
      </c>
      <c r="X114" s="36"/>
      <c r="Y114" s="36"/>
      <c r="Z114" s="36"/>
      <c r="AA114" s="36"/>
      <c r="AB114" s="34">
        <f>795.17</f>
        <v>795.17</v>
      </c>
      <c r="AC114" s="34"/>
    </row>
    <row r="115" spans="1:29" s="1" customFormat="1" ht="13.5" customHeight="1">
      <c r="A115" s="35" t="s">
        <v>125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0" t="s">
        <v>102</v>
      </c>
      <c r="M115" s="30"/>
      <c r="N115" s="30"/>
      <c r="O115" s="30" t="s">
        <v>179</v>
      </c>
      <c r="P115" s="30"/>
      <c r="Q115" s="30"/>
      <c r="R115" s="31" t="s">
        <v>127</v>
      </c>
      <c r="S115" s="31"/>
      <c r="T115" s="32">
        <f>30000</f>
        <v>30000</v>
      </c>
      <c r="U115" s="32"/>
      <c r="V115" s="32"/>
      <c r="W115" s="32">
        <f>9600</f>
        <v>9600</v>
      </c>
      <c r="X115" s="32"/>
      <c r="Y115" s="32"/>
      <c r="Z115" s="32"/>
      <c r="AA115" s="32"/>
      <c r="AB115" s="34">
        <f>20400</f>
        <v>20400</v>
      </c>
      <c r="AC115" s="34"/>
    </row>
    <row r="116" spans="1:29" s="1" customFormat="1" ht="13.5" customHeight="1">
      <c r="A116" s="35" t="s">
        <v>125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0" t="s">
        <v>102</v>
      </c>
      <c r="M116" s="30"/>
      <c r="N116" s="30"/>
      <c r="O116" s="30" t="s">
        <v>180</v>
      </c>
      <c r="P116" s="30"/>
      <c r="Q116" s="30"/>
      <c r="R116" s="31" t="s">
        <v>127</v>
      </c>
      <c r="S116" s="31"/>
      <c r="T116" s="32">
        <f>30000</f>
        <v>30000</v>
      </c>
      <c r="U116" s="32"/>
      <c r="V116" s="32"/>
      <c r="W116" s="32">
        <f>15800</f>
        <v>15800</v>
      </c>
      <c r="X116" s="32"/>
      <c r="Y116" s="32"/>
      <c r="Z116" s="32"/>
      <c r="AA116" s="32"/>
      <c r="AB116" s="34">
        <f>14200</f>
        <v>14200</v>
      </c>
      <c r="AC116" s="34"/>
    </row>
    <row r="117" spans="1:29" s="1" customFormat="1" ht="13.5" customHeight="1">
      <c r="A117" s="35" t="s">
        <v>125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0" t="s">
        <v>102</v>
      </c>
      <c r="M117" s="30"/>
      <c r="N117" s="30"/>
      <c r="O117" s="30" t="s">
        <v>181</v>
      </c>
      <c r="P117" s="30"/>
      <c r="Q117" s="30"/>
      <c r="R117" s="31" t="s">
        <v>127</v>
      </c>
      <c r="S117" s="31"/>
      <c r="T117" s="32">
        <f>62500</f>
        <v>62500</v>
      </c>
      <c r="U117" s="32"/>
      <c r="V117" s="32"/>
      <c r="W117" s="36" t="s">
        <v>46</v>
      </c>
      <c r="X117" s="36"/>
      <c r="Y117" s="36"/>
      <c r="Z117" s="36"/>
      <c r="AA117" s="36"/>
      <c r="AB117" s="34">
        <f>62500</f>
        <v>62500</v>
      </c>
      <c r="AC117" s="34"/>
    </row>
    <row r="118" spans="1:29" s="1" customFormat="1" ht="13.5" customHeight="1">
      <c r="A118" s="35" t="s">
        <v>152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0" t="s">
        <v>102</v>
      </c>
      <c r="M118" s="30"/>
      <c r="N118" s="30"/>
      <c r="O118" s="30" t="s">
        <v>182</v>
      </c>
      <c r="P118" s="30"/>
      <c r="Q118" s="30"/>
      <c r="R118" s="31" t="s">
        <v>153</v>
      </c>
      <c r="S118" s="31"/>
      <c r="T118" s="32">
        <f>100000</f>
        <v>100000</v>
      </c>
      <c r="U118" s="32"/>
      <c r="V118" s="32"/>
      <c r="W118" s="32">
        <f>30000</f>
        <v>30000</v>
      </c>
      <c r="X118" s="32"/>
      <c r="Y118" s="32"/>
      <c r="Z118" s="32"/>
      <c r="AA118" s="32"/>
      <c r="AB118" s="34">
        <f>70000</f>
        <v>70000</v>
      </c>
      <c r="AC118" s="34"/>
    </row>
    <row r="119" spans="1:29" s="1" customFormat="1" ht="24" customHeight="1">
      <c r="A119" s="35" t="s">
        <v>154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0" t="s">
        <v>102</v>
      </c>
      <c r="M119" s="30"/>
      <c r="N119" s="30"/>
      <c r="O119" s="30" t="s">
        <v>182</v>
      </c>
      <c r="P119" s="30"/>
      <c r="Q119" s="30"/>
      <c r="R119" s="31" t="s">
        <v>155</v>
      </c>
      <c r="S119" s="31"/>
      <c r="T119" s="32">
        <f>37929</f>
        <v>37929</v>
      </c>
      <c r="U119" s="32"/>
      <c r="V119" s="32"/>
      <c r="W119" s="32">
        <f>10500</f>
        <v>10500</v>
      </c>
      <c r="X119" s="32"/>
      <c r="Y119" s="32"/>
      <c r="Z119" s="32"/>
      <c r="AA119" s="32"/>
      <c r="AB119" s="34">
        <f>27429</f>
        <v>27429</v>
      </c>
      <c r="AC119" s="34"/>
    </row>
    <row r="120" spans="1:29" s="1" customFormat="1" ht="13.5" customHeight="1">
      <c r="A120" s="35" t="s">
        <v>183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0" t="s">
        <v>102</v>
      </c>
      <c r="M120" s="30"/>
      <c r="N120" s="30"/>
      <c r="O120" s="30" t="s">
        <v>184</v>
      </c>
      <c r="P120" s="30"/>
      <c r="Q120" s="30"/>
      <c r="R120" s="31" t="s">
        <v>185</v>
      </c>
      <c r="S120" s="31"/>
      <c r="T120" s="32">
        <f>21555234</f>
        <v>21555234</v>
      </c>
      <c r="U120" s="32"/>
      <c r="V120" s="32"/>
      <c r="W120" s="32">
        <f>10801152.3</f>
        <v>10801152.3</v>
      </c>
      <c r="X120" s="32"/>
      <c r="Y120" s="32"/>
      <c r="Z120" s="32"/>
      <c r="AA120" s="32"/>
      <c r="AB120" s="34">
        <f>10754081.7</f>
        <v>10754081.7</v>
      </c>
      <c r="AC120" s="34"/>
    </row>
    <row r="121" spans="1:29" s="1" customFormat="1" ht="13.5" customHeight="1">
      <c r="A121" s="35" t="s">
        <v>183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0" t="s">
        <v>102</v>
      </c>
      <c r="M121" s="30"/>
      <c r="N121" s="30"/>
      <c r="O121" s="30" t="s">
        <v>186</v>
      </c>
      <c r="P121" s="30"/>
      <c r="Q121" s="30"/>
      <c r="R121" s="31" t="s">
        <v>185</v>
      </c>
      <c r="S121" s="31"/>
      <c r="T121" s="32">
        <f>11110</f>
        <v>11110</v>
      </c>
      <c r="U121" s="32"/>
      <c r="V121" s="32"/>
      <c r="W121" s="32">
        <f>11110</f>
        <v>11110</v>
      </c>
      <c r="X121" s="32"/>
      <c r="Y121" s="32"/>
      <c r="Z121" s="32"/>
      <c r="AA121" s="32"/>
      <c r="AB121" s="34">
        <f>0</f>
        <v>0</v>
      </c>
      <c r="AC121" s="34"/>
    </row>
    <row r="122" spans="1:29" s="1" customFormat="1" ht="15" customHeight="1">
      <c r="A122" s="42" t="s">
        <v>187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39" t="s">
        <v>188</v>
      </c>
      <c r="M122" s="39"/>
      <c r="N122" s="39"/>
      <c r="O122" s="39" t="s">
        <v>37</v>
      </c>
      <c r="P122" s="39"/>
      <c r="Q122" s="39"/>
      <c r="R122" s="40" t="s">
        <v>37</v>
      </c>
      <c r="S122" s="40"/>
      <c r="T122" s="41">
        <f>-4864269.35</f>
        <v>-4864269.35</v>
      </c>
      <c r="U122" s="41"/>
      <c r="V122" s="41"/>
      <c r="W122" s="41">
        <f>2410531.89</f>
        <v>2410531.89</v>
      </c>
      <c r="X122" s="41"/>
      <c r="Y122" s="41"/>
      <c r="Z122" s="41"/>
      <c r="AA122" s="41"/>
      <c r="AB122" s="38" t="s">
        <v>37</v>
      </c>
      <c r="AC122" s="38"/>
    </row>
    <row r="123" spans="1:29" s="1" customFormat="1" ht="13.5" customHeight="1">
      <c r="A123" s="10" t="s">
        <v>11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1" customFormat="1" ht="13.5" customHeight="1">
      <c r="A124" s="12" t="s">
        <v>189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s="1" customFormat="1" ht="45.75" customHeight="1">
      <c r="A125" s="13" t="s">
        <v>23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 t="s">
        <v>24</v>
      </c>
      <c r="N125" s="13"/>
      <c r="O125" s="13"/>
      <c r="P125" s="13" t="s">
        <v>190</v>
      </c>
      <c r="Q125" s="13"/>
      <c r="R125" s="13"/>
      <c r="S125" s="14" t="s">
        <v>26</v>
      </c>
      <c r="T125" s="14"/>
      <c r="U125" s="14"/>
      <c r="V125" s="14" t="s">
        <v>27</v>
      </c>
      <c r="W125" s="14"/>
      <c r="X125" s="14"/>
      <c r="Y125" s="14"/>
      <c r="Z125" s="14"/>
      <c r="AA125" s="15" t="s">
        <v>28</v>
      </c>
      <c r="AB125" s="15"/>
      <c r="AC125" s="15"/>
    </row>
    <row r="126" spans="1:29" s="1" customFormat="1" ht="12.75" customHeight="1">
      <c r="A126" s="16" t="s">
        <v>29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 t="s">
        <v>30</v>
      </c>
      <c r="N126" s="16"/>
      <c r="O126" s="16"/>
      <c r="P126" s="16" t="s">
        <v>31</v>
      </c>
      <c r="Q126" s="16"/>
      <c r="R126" s="16"/>
      <c r="S126" s="17" t="s">
        <v>32</v>
      </c>
      <c r="T126" s="17"/>
      <c r="U126" s="17"/>
      <c r="V126" s="17" t="s">
        <v>33</v>
      </c>
      <c r="W126" s="17"/>
      <c r="X126" s="17"/>
      <c r="Y126" s="17"/>
      <c r="Z126" s="17"/>
      <c r="AA126" s="18" t="s">
        <v>34</v>
      </c>
      <c r="AB126" s="18"/>
      <c r="AC126" s="18"/>
    </row>
    <row r="127" spans="1:29" s="1" customFormat="1" ht="13.5" customHeight="1">
      <c r="A127" s="19" t="s">
        <v>191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 t="s">
        <v>192</v>
      </c>
      <c r="N127" s="20"/>
      <c r="O127" s="20"/>
      <c r="P127" s="20" t="s">
        <v>37</v>
      </c>
      <c r="Q127" s="20"/>
      <c r="R127" s="20"/>
      <c r="S127" s="43">
        <f>4864269.35</f>
        <v>4864269.35</v>
      </c>
      <c r="T127" s="43"/>
      <c r="U127" s="43"/>
      <c r="V127" s="21">
        <f>-2410531.89</f>
        <v>-2410531.89</v>
      </c>
      <c r="W127" s="21"/>
      <c r="X127" s="21"/>
      <c r="Y127" s="21"/>
      <c r="Z127" s="21"/>
      <c r="AA127" s="44" t="s">
        <v>37</v>
      </c>
      <c r="AB127" s="44"/>
      <c r="AC127" s="44"/>
    </row>
    <row r="128" spans="1:29" s="1" customFormat="1" ht="13.5" customHeight="1">
      <c r="A128" s="45" t="s">
        <v>193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6" t="s">
        <v>11</v>
      </c>
      <c r="N128" s="46"/>
      <c r="O128" s="46"/>
      <c r="P128" s="46" t="s">
        <v>11</v>
      </c>
      <c r="Q128" s="46"/>
      <c r="R128" s="46"/>
      <c r="S128" s="47" t="s">
        <v>11</v>
      </c>
      <c r="T128" s="47"/>
      <c r="U128" s="47"/>
      <c r="V128" s="48" t="s">
        <v>11</v>
      </c>
      <c r="W128" s="48"/>
      <c r="X128" s="48"/>
      <c r="Y128" s="48"/>
      <c r="Z128" s="48"/>
      <c r="AA128" s="49" t="s">
        <v>11</v>
      </c>
      <c r="AB128" s="49"/>
      <c r="AC128" s="49"/>
    </row>
    <row r="129" spans="1:29" s="1" customFormat="1" ht="13.5" customHeight="1">
      <c r="A129" s="23" t="s">
        <v>194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50" t="s">
        <v>195</v>
      </c>
      <c r="N129" s="50"/>
      <c r="O129" s="50"/>
      <c r="P129" s="24" t="s">
        <v>37</v>
      </c>
      <c r="Q129" s="24"/>
      <c r="R129" s="24"/>
      <c r="S129" s="51" t="s">
        <v>46</v>
      </c>
      <c r="T129" s="51"/>
      <c r="U129" s="51"/>
      <c r="V129" s="27" t="s">
        <v>46</v>
      </c>
      <c r="W129" s="27"/>
      <c r="X129" s="27"/>
      <c r="Y129" s="27"/>
      <c r="Z129" s="27"/>
      <c r="AA129" s="52" t="s">
        <v>46</v>
      </c>
      <c r="AB129" s="52"/>
      <c r="AC129" s="52"/>
    </row>
    <row r="130" spans="1:29" s="1" customFormat="1" ht="13.5" customHeight="1">
      <c r="A130" s="31" t="s">
        <v>11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s="1" customFormat="1" ht="13.5" customHeight="1">
      <c r="A131" s="35" t="s">
        <v>196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6" t="s">
        <v>197</v>
      </c>
      <c r="N131" s="46"/>
      <c r="O131" s="46"/>
      <c r="P131" s="46" t="s">
        <v>37</v>
      </c>
      <c r="Q131" s="46"/>
      <c r="R131" s="46"/>
      <c r="S131" s="47" t="s">
        <v>46</v>
      </c>
      <c r="T131" s="47"/>
      <c r="U131" s="47"/>
      <c r="V131" s="36" t="s">
        <v>46</v>
      </c>
      <c r="W131" s="36"/>
      <c r="X131" s="36"/>
      <c r="Y131" s="36"/>
      <c r="Z131" s="36"/>
      <c r="AA131" s="49" t="s">
        <v>46</v>
      </c>
      <c r="AB131" s="49"/>
      <c r="AC131" s="49"/>
    </row>
    <row r="132" spans="1:29" s="1" customFormat="1" ht="13.5" customHeight="1">
      <c r="A132" s="35" t="s">
        <v>11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0" t="s">
        <v>197</v>
      </c>
      <c r="N132" s="30"/>
      <c r="O132" s="30"/>
      <c r="P132" s="30" t="s">
        <v>11</v>
      </c>
      <c r="Q132" s="30"/>
      <c r="R132" s="30"/>
      <c r="S132" s="53" t="s">
        <v>46</v>
      </c>
      <c r="T132" s="53"/>
      <c r="U132" s="53"/>
      <c r="V132" s="36" t="s">
        <v>46</v>
      </c>
      <c r="W132" s="36"/>
      <c r="X132" s="36"/>
      <c r="Y132" s="36"/>
      <c r="Z132" s="36"/>
      <c r="AA132" s="54" t="s">
        <v>46</v>
      </c>
      <c r="AB132" s="54"/>
      <c r="AC132" s="54"/>
    </row>
    <row r="133" spans="1:29" s="1" customFormat="1" ht="13.5" customHeight="1">
      <c r="A133" s="35" t="s">
        <v>198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0" t="s">
        <v>199</v>
      </c>
      <c r="N133" s="30"/>
      <c r="O133" s="30"/>
      <c r="P133" s="30" t="s">
        <v>200</v>
      </c>
      <c r="Q133" s="30"/>
      <c r="R133" s="30"/>
      <c r="S133" s="55">
        <f>4864269.35</f>
        <v>4864269.35</v>
      </c>
      <c r="T133" s="55"/>
      <c r="U133" s="55"/>
      <c r="V133" s="32">
        <f>-2410531.89</f>
        <v>-2410531.89</v>
      </c>
      <c r="W133" s="32"/>
      <c r="X133" s="32"/>
      <c r="Y133" s="32"/>
      <c r="Z133" s="32"/>
      <c r="AA133" s="56">
        <f>7274801.24</f>
        <v>7274801.24</v>
      </c>
      <c r="AB133" s="56"/>
      <c r="AC133" s="56"/>
    </row>
    <row r="134" spans="1:29" s="1" customFormat="1" ht="13.5" customHeight="1">
      <c r="A134" s="35" t="s">
        <v>201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0" t="s">
        <v>202</v>
      </c>
      <c r="N134" s="30"/>
      <c r="O134" s="30"/>
      <c r="P134" s="30" t="s">
        <v>203</v>
      </c>
      <c r="Q134" s="30"/>
      <c r="R134" s="30"/>
      <c r="S134" s="55">
        <f>-47407991.1</f>
        <v>-47407991.1</v>
      </c>
      <c r="T134" s="55"/>
      <c r="U134" s="55"/>
      <c r="V134" s="32">
        <f>-24918666.13</f>
        <v>-24918666.13</v>
      </c>
      <c r="W134" s="32"/>
      <c r="X134" s="32"/>
      <c r="Y134" s="32"/>
      <c r="Z134" s="32"/>
      <c r="AA134" s="57" t="s">
        <v>37</v>
      </c>
      <c r="AB134" s="57"/>
      <c r="AC134" s="57"/>
    </row>
    <row r="135" spans="1:29" s="1" customFormat="1" ht="13.5" customHeight="1">
      <c r="A135" s="35" t="s">
        <v>204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0" t="s">
        <v>205</v>
      </c>
      <c r="N135" s="30"/>
      <c r="O135" s="30"/>
      <c r="P135" s="30" t="s">
        <v>206</v>
      </c>
      <c r="Q135" s="30"/>
      <c r="R135" s="30"/>
      <c r="S135" s="55">
        <f>52272260.45</f>
        <v>52272260.45</v>
      </c>
      <c r="T135" s="55"/>
      <c r="U135" s="55"/>
      <c r="V135" s="32">
        <f>22508134.24</f>
        <v>22508134.24</v>
      </c>
      <c r="W135" s="32"/>
      <c r="X135" s="32"/>
      <c r="Y135" s="32"/>
      <c r="Z135" s="32"/>
      <c r="AA135" s="57" t="s">
        <v>37</v>
      </c>
      <c r="AB135" s="57"/>
      <c r="AC135" s="57"/>
    </row>
    <row r="136" spans="1:29" s="1" customFormat="1" ht="13.5" customHeight="1">
      <c r="A136" s="58" t="s">
        <v>11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s="1" customFormat="1" ht="13.5" customHeight="1">
      <c r="A137" s="10" t="s">
        <v>207</v>
      </c>
      <c r="B137" s="10"/>
      <c r="C137" s="10"/>
      <c r="D137" s="10"/>
      <c r="E137" s="10"/>
      <c r="F137" s="10"/>
      <c r="G137" s="10"/>
      <c r="H137" s="10"/>
      <c r="I137" s="59" t="s">
        <v>11</v>
      </c>
      <c r="J137" s="59"/>
      <c r="K137" s="59"/>
      <c r="L137" s="59"/>
      <c r="M137" s="59"/>
      <c r="N137" s="59"/>
      <c r="O137" s="59"/>
      <c r="P137" s="59" t="s">
        <v>208</v>
      </c>
      <c r="Q137" s="59"/>
      <c r="R137" s="59"/>
      <c r="S137" s="59"/>
      <c r="T137" s="59"/>
      <c r="U137" s="10" t="s">
        <v>11</v>
      </c>
      <c r="V137" s="10"/>
      <c r="W137" s="10"/>
      <c r="X137" s="10"/>
      <c r="Y137" s="10"/>
      <c r="Z137" s="10"/>
      <c r="AA137" s="10"/>
      <c r="AB137" s="10"/>
      <c r="AC137" s="10"/>
    </row>
    <row r="138" spans="1:29" s="1" customFormat="1" ht="13.5" customHeight="1">
      <c r="A138" s="10" t="s">
        <v>11</v>
      </c>
      <c r="B138" s="10"/>
      <c r="C138" s="10"/>
      <c r="D138" s="10"/>
      <c r="E138" s="10"/>
      <c r="F138" s="10"/>
      <c r="G138" s="10"/>
      <c r="H138" s="10"/>
      <c r="I138" s="5" t="s">
        <v>11</v>
      </c>
      <c r="J138" s="60" t="s">
        <v>209</v>
      </c>
      <c r="K138" s="60"/>
      <c r="L138" s="60"/>
      <c r="M138" s="60"/>
      <c r="N138" s="10" t="s">
        <v>11</v>
      </c>
      <c r="O138" s="10"/>
      <c r="P138" s="5" t="s">
        <v>11</v>
      </c>
      <c r="Q138" s="60" t="s">
        <v>210</v>
      </c>
      <c r="R138" s="60"/>
      <c r="S138" s="60"/>
      <c r="T138" s="10" t="s">
        <v>11</v>
      </c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1" customFormat="1" ht="7.5" customHeight="1">
      <c r="A139" s="10" t="s">
        <v>11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1" customFormat="1" ht="13.5" customHeight="1">
      <c r="A140" s="10" t="s">
        <v>211</v>
      </c>
      <c r="B140" s="10"/>
      <c r="C140" s="10"/>
      <c r="D140" s="10"/>
      <c r="E140" s="10"/>
      <c r="F140" s="10"/>
      <c r="G140" s="10"/>
      <c r="H140" s="10"/>
      <c r="I140" s="59" t="s">
        <v>11</v>
      </c>
      <c r="J140" s="59"/>
      <c r="K140" s="59"/>
      <c r="L140" s="59"/>
      <c r="M140" s="59"/>
      <c r="N140" s="59"/>
      <c r="O140" s="59"/>
      <c r="P140" s="59" t="s">
        <v>212</v>
      </c>
      <c r="Q140" s="59"/>
      <c r="R140" s="59"/>
      <c r="S140" s="59"/>
      <c r="T140" s="59"/>
      <c r="U140" s="10" t="s">
        <v>11</v>
      </c>
      <c r="V140" s="10"/>
      <c r="W140" s="10"/>
      <c r="X140" s="10"/>
      <c r="Y140" s="10"/>
      <c r="Z140" s="10"/>
      <c r="AA140" s="10"/>
      <c r="AB140" s="10"/>
      <c r="AC140" s="10"/>
    </row>
    <row r="141" spans="1:29" s="1" customFormat="1" ht="13.5" customHeight="1">
      <c r="A141" s="10" t="s">
        <v>11</v>
      </c>
      <c r="B141" s="10"/>
      <c r="C141" s="10"/>
      <c r="D141" s="10"/>
      <c r="E141" s="10"/>
      <c r="F141" s="10"/>
      <c r="G141" s="10"/>
      <c r="H141" s="10"/>
      <c r="I141" s="5" t="s">
        <v>11</v>
      </c>
      <c r="J141" s="60" t="s">
        <v>209</v>
      </c>
      <c r="K141" s="60"/>
      <c r="L141" s="60"/>
      <c r="M141" s="60"/>
      <c r="N141" s="10" t="s">
        <v>11</v>
      </c>
      <c r="O141" s="10"/>
      <c r="P141" s="5" t="s">
        <v>11</v>
      </c>
      <c r="Q141" s="60" t="s">
        <v>210</v>
      </c>
      <c r="R141" s="60"/>
      <c r="S141" s="60"/>
      <c r="T141" s="10" t="s">
        <v>11</v>
      </c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1" customFormat="1" ht="7.5" customHeight="1">
      <c r="A142" s="10" t="s">
        <v>11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1" customFormat="1" ht="24" customHeight="1">
      <c r="A143" s="10" t="s">
        <v>213</v>
      </c>
      <c r="B143" s="10"/>
      <c r="C143" s="59" t="s">
        <v>211</v>
      </c>
      <c r="D143" s="59"/>
      <c r="E143" s="59"/>
      <c r="F143" s="59"/>
      <c r="G143" s="59"/>
      <c r="H143" s="59"/>
      <c r="I143" s="59" t="s">
        <v>11</v>
      </c>
      <c r="J143" s="59"/>
      <c r="K143" s="59"/>
      <c r="L143" s="59"/>
      <c r="M143" s="59"/>
      <c r="N143" s="59"/>
      <c r="O143" s="59"/>
      <c r="P143" s="59" t="s">
        <v>212</v>
      </c>
      <c r="Q143" s="59"/>
      <c r="R143" s="59"/>
      <c r="S143" s="59"/>
      <c r="T143" s="59"/>
      <c r="U143" s="10" t="s">
        <v>11</v>
      </c>
      <c r="V143" s="10"/>
      <c r="W143" s="10"/>
      <c r="X143" s="10"/>
      <c r="Y143" s="10"/>
      <c r="Z143" s="10"/>
      <c r="AA143" s="10"/>
      <c r="AB143" s="10"/>
      <c r="AC143" s="10"/>
    </row>
    <row r="144" spans="1:29" s="1" customFormat="1" ht="13.5" customHeight="1">
      <c r="A144" s="10" t="s">
        <v>11</v>
      </c>
      <c r="B144" s="10"/>
      <c r="C144" s="5" t="s">
        <v>11</v>
      </c>
      <c r="D144" s="60" t="s">
        <v>214</v>
      </c>
      <c r="E144" s="60"/>
      <c r="F144" s="60"/>
      <c r="G144" s="60"/>
      <c r="H144" s="5" t="s">
        <v>11</v>
      </c>
      <c r="I144" s="5" t="s">
        <v>11</v>
      </c>
      <c r="J144" s="60" t="s">
        <v>209</v>
      </c>
      <c r="K144" s="60"/>
      <c r="L144" s="60"/>
      <c r="M144" s="60"/>
      <c r="N144" s="10" t="s">
        <v>11</v>
      </c>
      <c r="O144" s="10"/>
      <c r="P144" s="5" t="s">
        <v>11</v>
      </c>
      <c r="Q144" s="60" t="s">
        <v>210</v>
      </c>
      <c r="R144" s="60"/>
      <c r="S144" s="60"/>
      <c r="T144" s="10" t="s">
        <v>11</v>
      </c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1" customFormat="1" ht="15.75" customHeight="1">
      <c r="A145" s="10" t="s">
        <v>11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1" customFormat="1" ht="13.5" customHeight="1">
      <c r="A146" s="61" t="s">
        <v>215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10" t="s">
        <v>11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1" customFormat="1" ht="13.5" customHeight="1">
      <c r="A147" s="9" t="s">
        <v>216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</sheetData>
  <sheetProtection/>
  <mergeCells count="857">
    <mergeCell ref="A145:AC145"/>
    <mergeCell ref="A146:J146"/>
    <mergeCell ref="K146:AC146"/>
    <mergeCell ref="A147:AC147"/>
    <mergeCell ref="A144:B144"/>
    <mergeCell ref="D144:G144"/>
    <mergeCell ref="J144:M144"/>
    <mergeCell ref="N144:O144"/>
    <mergeCell ref="Q144:S144"/>
    <mergeCell ref="T144:AC144"/>
    <mergeCell ref="A142:AC142"/>
    <mergeCell ref="A143:B143"/>
    <mergeCell ref="C143:H143"/>
    <mergeCell ref="I143:O143"/>
    <mergeCell ref="P143:T143"/>
    <mergeCell ref="U143:AC143"/>
    <mergeCell ref="A139:AC139"/>
    <mergeCell ref="A140:H140"/>
    <mergeCell ref="I140:O140"/>
    <mergeCell ref="P140:T140"/>
    <mergeCell ref="U140:AC140"/>
    <mergeCell ref="A141:H141"/>
    <mergeCell ref="J141:M141"/>
    <mergeCell ref="N141:O141"/>
    <mergeCell ref="Q141:S141"/>
    <mergeCell ref="T141:AC141"/>
    <mergeCell ref="A136:AC136"/>
    <mergeCell ref="A137:H137"/>
    <mergeCell ref="I137:O137"/>
    <mergeCell ref="P137:T137"/>
    <mergeCell ref="U137:AC137"/>
    <mergeCell ref="A138:H138"/>
    <mergeCell ref="J138:M138"/>
    <mergeCell ref="N138:O138"/>
    <mergeCell ref="Q138:S138"/>
    <mergeCell ref="T138:AC138"/>
    <mergeCell ref="A135:L135"/>
    <mergeCell ref="M135:O135"/>
    <mergeCell ref="P135:R135"/>
    <mergeCell ref="S135:U135"/>
    <mergeCell ref="V135:Z135"/>
    <mergeCell ref="AA135:AC135"/>
    <mergeCell ref="A134:L134"/>
    <mergeCell ref="M134:O134"/>
    <mergeCell ref="P134:R134"/>
    <mergeCell ref="S134:U134"/>
    <mergeCell ref="V134:Z134"/>
    <mergeCell ref="AA134:AC134"/>
    <mergeCell ref="A133:L133"/>
    <mergeCell ref="M133:O133"/>
    <mergeCell ref="P133:R133"/>
    <mergeCell ref="S133:U133"/>
    <mergeCell ref="V133:Z133"/>
    <mergeCell ref="AA133:AC133"/>
    <mergeCell ref="A132:L132"/>
    <mergeCell ref="M132:O132"/>
    <mergeCell ref="P132:R132"/>
    <mergeCell ref="S132:U132"/>
    <mergeCell ref="V132:Z132"/>
    <mergeCell ref="AA132:AC132"/>
    <mergeCell ref="A130:AC130"/>
    <mergeCell ref="A131:L131"/>
    <mergeCell ref="M131:O131"/>
    <mergeCell ref="P131:R131"/>
    <mergeCell ref="S131:U131"/>
    <mergeCell ref="V131:Z131"/>
    <mergeCell ref="AA131:AC131"/>
    <mergeCell ref="A129:L129"/>
    <mergeCell ref="M129:O129"/>
    <mergeCell ref="P129:R129"/>
    <mergeCell ref="S129:U129"/>
    <mergeCell ref="V129:Z129"/>
    <mergeCell ref="AA129:AC129"/>
    <mergeCell ref="A128:L128"/>
    <mergeCell ref="M128:O128"/>
    <mergeCell ref="P128:R128"/>
    <mergeCell ref="S128:U128"/>
    <mergeCell ref="V128:Z128"/>
    <mergeCell ref="AA128:AC128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123:AC123"/>
    <mergeCell ref="A124:AC124"/>
    <mergeCell ref="A125:L125"/>
    <mergeCell ref="M125:O125"/>
    <mergeCell ref="AA126:AC126"/>
    <mergeCell ref="A120:K120"/>
    <mergeCell ref="P125:R125"/>
    <mergeCell ref="S125:U125"/>
    <mergeCell ref="V125:Z125"/>
    <mergeCell ref="AA125:AC125"/>
    <mergeCell ref="L122:N122"/>
    <mergeCell ref="O122:Q122"/>
    <mergeCell ref="R122:S122"/>
    <mergeCell ref="T122:V122"/>
    <mergeCell ref="W122:AA122"/>
    <mergeCell ref="AB121:AC121"/>
    <mergeCell ref="AB122:AC122"/>
    <mergeCell ref="A121:K121"/>
    <mergeCell ref="L121:N121"/>
    <mergeCell ref="O121:Q121"/>
    <mergeCell ref="R121:S121"/>
    <mergeCell ref="T121:V121"/>
    <mergeCell ref="W121:AA121"/>
    <mergeCell ref="A122:K122"/>
    <mergeCell ref="L120:N120"/>
    <mergeCell ref="O120:Q120"/>
    <mergeCell ref="R120:S120"/>
    <mergeCell ref="T120:V120"/>
    <mergeCell ref="W120:AA120"/>
    <mergeCell ref="AB118:AC118"/>
    <mergeCell ref="AB119:AC119"/>
    <mergeCell ref="AB120:AC120"/>
    <mergeCell ref="A119:K119"/>
    <mergeCell ref="L119:N119"/>
    <mergeCell ref="O119:Q119"/>
    <mergeCell ref="R119:S119"/>
    <mergeCell ref="T119:V119"/>
    <mergeCell ref="W119:AA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47:AC47"/>
    <mergeCell ref="A48:AC48"/>
    <mergeCell ref="A49:K49"/>
    <mergeCell ref="L49:N49"/>
    <mergeCell ref="O49:Q49"/>
    <mergeCell ref="R49:S49"/>
    <mergeCell ref="T49:V49"/>
    <mergeCell ref="W49:AA49"/>
    <mergeCell ref="AB49:AC49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7" max="255" man="1"/>
    <brk id="12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2019-06-04T11:36:22Z</cp:lastPrinted>
  <dcterms:created xsi:type="dcterms:W3CDTF">2019-06-03T12:33:15Z</dcterms:created>
  <dcterms:modified xsi:type="dcterms:W3CDTF">2019-06-28T05:23:10Z</dcterms:modified>
  <cp:category/>
  <cp:version/>
  <cp:contentType/>
  <cp:contentStatus/>
</cp:coreProperties>
</file>