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<sst xmlns="http://schemas.openxmlformats.org/spreadsheetml/2006/main" count="755" uniqueCount="271">
  <si>
    <t>ОТЧЕТ ОБ ИСПОЛНЕНИИ БЮДЖЕТА</t>
  </si>
  <si>
    <t>КОДЫ</t>
  </si>
  <si>
    <t xml:space="preserve">Форма по ОКУД </t>
  </si>
  <si>
    <t>0503117</t>
  </si>
  <si>
    <t>на 1 декабря 2021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</si>
  <si>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</si>
  <si>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</si>
  <si>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</si>
  <si>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</si>
  <si>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</si>
  <si>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</si>
  <si>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</si>
  <si>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</si>
  <si>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</si>
  <si>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</si>
  <si>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</si>
  <si>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</si>
  <si>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</si>
  <si>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</si>
  <si>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</si>
  <si>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</si>
  <si>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</si>
  <si>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</si>
  <si>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</si>
  <si>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</si>
  <si>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</si>
  <si>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</si>
  <si>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</si>
  <si>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</si>
  <si>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</si>
  <si>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</si>
  <si>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</si>
  <si>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</si>
  <si>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</si>
  <si>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</si>
  <si>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</si>
  <si>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</si>
  <si>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</si>
  <si>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</si>
  <si>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</si>
  <si>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</si>
  <si>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</si>
  <si>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</si>
  <si>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</si>
  <si>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</si>
  <si>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</si>
  <si>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</si>
  <si>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</si>
  <si>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</si>
  <si>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</si>
  <si>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</si>
  <si>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</si>
  <si>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</si>
  <si>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</si>
  <si>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</si>
  <si>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</si>
  <si>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</si>
  <si>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182 10102030 01 3000 110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</si>
  <si>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</si>
  <si>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</si>
  <si>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</si>
  <si>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</si>
  <si>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</si>
  <si>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</si>
  <si>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</si>
  <si>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</si>
  <si>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</si>
  <si>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</si>
  <si>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182 10604011 02 2100 110</t>
  </si>
  <si>
    <t>182 10604011 02 3000 110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</si>
  <si>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</si>
  <si>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</si>
  <si>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</si>
  <si>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</si>
  <si>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</si>
  <si>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</si>
  <si>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</si>
  <si>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</si>
  <si>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</si>
  <si>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</si>
  <si>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</si>
  <si>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</si>
  <si>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</si>
  <si>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</si>
  <si>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</si>
  <si>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</si>
  <si>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</si>
  <si>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</si>
  <si>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</si>
  <si>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</si>
  <si>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</si>
  <si>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</si>
  <si>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</si>
  <si>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</si>
  <si>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</si>
  <si>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</si>
  <si>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</si>
  <si>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Прочие неналоговые доходы бюджетов сельских поселений</t>
  </si>
  <si>
    <t>650 11705050 10 0000 180</t>
  </si>
  <si>
    <t>Инициативные платежи, зачисляемые в бюджеты муниципальных районов</t>
  </si>
  <si>
    <t>650 11715030 10 0671 150</t>
  </si>
  <si>
    <t>650 11715030 10 0672 150</t>
  </si>
  <si>
    <t>650 11715030 10 2752 150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</si>
  <si>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</si>
  <si>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</si>
  <si>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Субсидии бюджетам сельских поселений на реализацию программ формирования современной городской среды</t>
  </si>
  <si>
    <t>650 20225555 10 0000 150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</si>
  <si>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</si>
  <si>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</si>
  <si>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</si>
  <si>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</si>
  <si>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</si>
  <si>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</si>
  <si>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</si>
  <si>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</si>
  <si>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от негосударственных организаций в бюджеты сельских поселений</t>
  </si>
  <si>
    <t>650 20405099 10 0000 150</t>
  </si>
  <si>
    <t>Прочие безвозмездные поступления в бюджеты сельских поселений</t>
  </si>
  <si>
    <t>650 20705030 10 0000 150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</si>
  <si>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</si>
  <si>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</si>
  <si>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</si>
  <si>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</si>
  <si>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</si>
  <si>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</si>
  <si>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</si>
  <si>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</si>
  <si>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</si>
  <si>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</si>
  <si>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</si>
  <si>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</si>
  <si>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</si>
  <si>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</si>
  <si>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</si>
  <si>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</si>
  <si>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</si>
  <si>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650 0102 5010089015 121</t>
  </si>
  <si>
    <t>650 0102 5010089015 129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</si>
  <si>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</si>
  <si>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</si>
  <si>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</si>
  <si>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</si>
  <si>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</si>
  <si>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</si>
  <si>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650 0104 0600102040 129</t>
  </si>
  <si>
    <t>650 0104 0600189015 121</t>
  </si>
  <si>
    <t>650 0104 0600189015 129</t>
  </si>
  <si>
    <t>650 0104 0600189028 121</t>
  </si>
  <si>
    <t>650 0104 0600189028 129</t>
  </si>
  <si>
    <t>Расходы</t>
  </si>
  <si>
    <t>650 0111 5000020940 870</t>
  </si>
  <si>
    <t>Прочие работы, услуги</t>
  </si>
  <si>
    <t>650 0113 0600120904 242</t>
  </si>
  <si>
    <t>226</t>
  </si>
  <si>
    <t>650 0113 0600189028 111</t>
  </si>
  <si>
    <t>650 0113 0600189028 119</t>
  </si>
  <si>
    <t>650 0113 0600199990 111</t>
  </si>
  <si>
    <t>650 0113 0600199990 112</t>
  </si>
  <si>
    <t>650 0113 0600199990 119</t>
  </si>
  <si>
    <t>Услуги связи</t>
  </si>
  <si>
    <t>650 0113 0600199990 242</t>
  </si>
  <si>
    <t>221</t>
  </si>
  <si>
    <t>650 0113 0600199990 244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</si>
  <si>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</si>
  <si>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</si>
  <si>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</si>
  <si>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</si>
  <si>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</si>
  <si>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</si>
  <si>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</si>
  <si>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</si>
  <si>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</si>
  <si>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</si>
  <si>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</si>
  <si>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</si>
  <si>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</si>
  <si>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</si>
  <si>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</si>
  <si>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</si>
  <si>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</si>
  <si>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</si>
  <si>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650 0113 0600199990 247</t>
  </si>
  <si>
    <t>Иные выплаты текущего характера физическим лицам</t>
  </si>
  <si>
    <t>650 0113 0600199990 360</t>
  </si>
  <si>
    <t>296</t>
  </si>
  <si>
    <t>650 0113 0600199990 831</t>
  </si>
  <si>
    <t>Налоги, пошлины и сборы</t>
  </si>
  <si>
    <t>650 0113 0600199990 852</t>
  </si>
  <si>
    <t>291</t>
  </si>
  <si>
    <t>Штрафы за нарушение законодательства о налогах и сборах, законодательства о страховых взносах</t>
  </si>
  <si>
    <t>650 0113 0600199990 853</t>
  </si>
  <si>
    <t>292</t>
  </si>
  <si>
    <t>Другие экономические санкции</t>
  </si>
  <si>
    <t>295</t>
  </si>
  <si>
    <t>Иные выплаты текущего характера организациям</t>
  </si>
  <si>
    <t>297</t>
  </si>
  <si>
    <t>650 0113 0800199990 244</t>
  </si>
  <si>
    <t>650 0113 0800199990 851</t>
  </si>
  <si>
    <t>650 0113 0800199990 852</t>
  </si>
  <si>
    <t>650 0113 0800199990 853</t>
  </si>
  <si>
    <t>650 0203 5000051180 121</t>
  </si>
  <si>
    <t>650 0203 5000051180 129</t>
  </si>
  <si>
    <t>650 0203 5000089015 121</t>
  </si>
  <si>
    <t>650 0203 5000089015 129</t>
  </si>
  <si>
    <t>650 0310 0900199990 244</t>
  </si>
  <si>
    <t>650 0310 0900389032 244</t>
  </si>
  <si>
    <t>650 0310 0900399990 244</t>
  </si>
  <si>
    <t>650 0314 0300182300 123</t>
  </si>
  <si>
    <t>650 0314 03001S2300 123</t>
  </si>
  <si>
    <t>650 0314 0300299990 244</t>
  </si>
  <si>
    <t>650 0405 0600484200 244</t>
  </si>
  <si>
    <t>650 0409 0100189027 244</t>
  </si>
  <si>
    <t>650 0409 0100220902 244</t>
  </si>
  <si>
    <t>650 0410 0400199990 242</t>
  </si>
  <si>
    <t>650 0410 0400299990 242</t>
  </si>
  <si>
    <t>650 0501 0800199990 244</t>
  </si>
  <si>
    <t>650 0501 0800199990 247</t>
  </si>
  <si>
    <t>650 0503 0500120671 244</t>
  </si>
  <si>
    <t>650 0503 0500120672 244</t>
  </si>
  <si>
    <t>650 0503 0500189671 244</t>
  </si>
  <si>
    <t>650 0503 0500189672 244</t>
  </si>
  <si>
    <t>650 0503 0500282752 244</t>
  </si>
  <si>
    <t>650 0503 0500289017 244</t>
  </si>
  <si>
    <t>650 0503 0500299990 244</t>
  </si>
  <si>
    <t>Услуги, работы для целей капитальных вложений</t>
  </si>
  <si>
    <t>228</t>
  </si>
  <si>
    <t>650 0503 0500299990 247</t>
  </si>
  <si>
    <t>650 0503 05002S2752 244</t>
  </si>
  <si>
    <t>650 0503 050F255550 244</t>
  </si>
  <si>
    <t>650 0503 050F289018 244</t>
  </si>
  <si>
    <t>650 0605 0500384290 121</t>
  </si>
  <si>
    <t>650 0605 0500384290 129</t>
  </si>
  <si>
    <t>650 0705 0600199990 244</t>
  </si>
  <si>
    <t>650 0705 0600302400 244</t>
  </si>
  <si>
    <t>650 0707 0700199990 244</t>
  </si>
  <si>
    <t>Увеличение стоимости мягкого инвентаря</t>
  </si>
  <si>
    <t>345</t>
  </si>
  <si>
    <t>Перечисления другим бюджетам бюджетной системы Российской Федерации</t>
  </si>
  <si>
    <t>650 1403 0600289020 540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</si>
  <si>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</si>
  <si>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</si>
  <si>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</si>
  <si>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</si>
  <si>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</si>
  <si>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</si>
  <si>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</si>
  <si>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</si>
  <si>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</si>
  <si>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</si>
  <si>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</si>
  <si>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</si>
  <si>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</si>
  <si>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</si>
  <si>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</si>
  <si>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</si>
  <si>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</si>
  <si>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</si>
  <si>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</si>
  <si>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</si>
  <si>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</si>
  <si>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</si>
  <si>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</si>
  <si>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</si>
  <si>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</si>
  <si>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</si>
  <si>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</si>
  <si>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Фомина М. В.</t>
  </si>
  <si>
    <t>Исполнитель:</t>
  </si>
  <si>
    <t>(должность)</t>
  </si>
  <si>
    <t xml:space="preserve">   2 декабря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</si>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</sst>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7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10" t="s">
        <v>5</v>
      </c>
      <c r="AA3" s="10"/>
      <c r="AB3" s="10"/>
      <c r="AC3" s="4">
        <v>44531</v>
      </c>
    </row>
    <row r="4" spans="1:29" s="1" customFormat="1" ht="13.5" customHeight="1">
      <c r="A4" s="8" t="s">
        <v>6</v>
      </c>
      <c r="B4" s="8"/>
      <c r="C4" s="8"/>
      <c r="D4" s="8"/>
      <c r="E4" s="8"/>
      <c r="F4" s="59" t="s">
        <v>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10" t="s">
        <v>9</v>
      </c>
      <c r="Z5" s="10"/>
      <c r="AA5" s="10"/>
      <c r="AB5" s="1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9" t="s">
        <v>13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10" t="s">
        <v>14</v>
      </c>
      <c r="Z6" s="10"/>
      <c r="AA6" s="10"/>
      <c r="AB6" s="1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11</v>
      </c>
    </row>
    <row r="8" spans="1:29" s="1" customFormat="1" ht="13.5" customHeight="1">
      <c r="A8" s="8" t="s">
        <v>18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20</v>
      </c>
      <c r="Y8" s="10"/>
      <c r="Z8" s="10"/>
      <c r="AA8" s="10"/>
      <c r="AB8" s="10"/>
      <c r="AC8" s="7" t="s">
        <v>21</v>
      </c>
    </row>
    <row r="9" spans="1:29" s="1" customFormat="1" ht="13.5" customHeight="1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s="1" customFormat="1" ht="34.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 t="s">
        <v>24</v>
      </c>
      <c r="N10" s="43"/>
      <c r="O10" s="43"/>
      <c r="P10" s="43" t="s">
        <v>25</v>
      </c>
      <c r="Q10" s="43"/>
      <c r="R10" s="43"/>
      <c r="S10" s="44" t="s">
        <v>26</v>
      </c>
      <c r="T10" s="44"/>
      <c r="U10" s="44"/>
      <c r="V10" s="44" t="s">
        <v>27</v>
      </c>
      <c r="W10" s="44"/>
      <c r="X10" s="44"/>
      <c r="Y10" s="44"/>
      <c r="Z10" s="44"/>
      <c r="AA10" s="45" t="s">
        <v>28</v>
      </c>
      <c r="AB10" s="45"/>
      <c r="AC10" s="45"/>
    </row>
    <row r="11" spans="1:29" s="1" customFormat="1" ht="12.75" customHeight="1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 t="s">
        <v>30</v>
      </c>
      <c r="N11" s="39"/>
      <c r="O11" s="39"/>
      <c r="P11" s="39" t="s">
        <v>31</v>
      </c>
      <c r="Q11" s="39"/>
      <c r="R11" s="39"/>
      <c r="S11" s="40" t="s">
        <v>32</v>
      </c>
      <c r="T11" s="40"/>
      <c r="U11" s="40"/>
      <c r="V11" s="40" t="s">
        <v>33</v>
      </c>
      <c r="W11" s="40"/>
      <c r="X11" s="40"/>
      <c r="Y11" s="40"/>
      <c r="Z11" s="40"/>
      <c r="AA11" s="41" t="s">
        <v>34</v>
      </c>
      <c r="AB11" s="41"/>
      <c r="AC11" s="41"/>
    </row>
    <row r="12" spans="1:29" s="1" customFormat="1" ht="13.5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36</v>
      </c>
      <c r="N12" s="35"/>
      <c r="O12" s="35"/>
      <c r="P12" s="35" t="s">
        <v>37</v>
      </c>
      <c r="Q12" s="35"/>
      <c r="R12" s="35"/>
      <c r="S12" s="37">
        <f>74574701.61</f>
        <v>74574701.61</v>
      </c>
      <c r="T12" s="37"/>
      <c r="U12" s="37"/>
      <c r="V12" s="37">
        <f>71037783.74</f>
        <v>71037783.74</v>
      </c>
      <c r="W12" s="37"/>
      <c r="X12" s="37"/>
      <c r="Y12" s="37"/>
      <c r="Z12" s="37"/>
      <c r="AA12" s="54">
        <f>3536917.87</f>
        <v>3536917.87</v>
      </c>
      <c r="AB12" s="54"/>
      <c r="AC12" s="54"/>
    </row>
    <row r="13" spans="1:29" s="1" customFormat="1" ht="66" customHeight="1">
      <c r="A13" s="26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8" t="s">
        <v>36</v>
      </c>
      <c r="N13" s="28"/>
      <c r="O13" s="28"/>
      <c r="P13" s="28" t="s">
        <v>39</v>
      </c>
      <c r="Q13" s="28"/>
      <c r="R13" s="28"/>
      <c r="S13" s="56">
        <f>228880</f>
        <v>228880</v>
      </c>
      <c r="T13" s="56"/>
      <c r="U13" s="56"/>
      <c r="V13" s="56">
        <f>212195.34</f>
        <v>212195.34</v>
      </c>
      <c r="W13" s="56"/>
      <c r="X13" s="56"/>
      <c r="Y13" s="56"/>
      <c r="Z13" s="56"/>
      <c r="AA13" s="58">
        <f>16684.66</f>
        <v>16684.66</v>
      </c>
      <c r="AB13" s="58"/>
      <c r="AC13" s="58"/>
    </row>
    <row r="14" spans="1:29" s="1" customFormat="1" ht="75.75" customHeight="1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8" t="s">
        <v>36</v>
      </c>
      <c r="N14" s="28"/>
      <c r="O14" s="28"/>
      <c r="P14" s="28" t="s">
        <v>41</v>
      </c>
      <c r="Q14" s="28"/>
      <c r="R14" s="28"/>
      <c r="S14" s="56">
        <f>1300</f>
        <v>1300</v>
      </c>
      <c r="T14" s="56"/>
      <c r="U14" s="56"/>
      <c r="V14" s="56">
        <f>1505.15</f>
        <v>1505.15</v>
      </c>
      <c r="W14" s="56"/>
      <c r="X14" s="56"/>
      <c r="Y14" s="56"/>
      <c r="Z14" s="56"/>
      <c r="AA14" s="57" t="s">
        <v>42</v>
      </c>
      <c r="AB14" s="57"/>
      <c r="AC14" s="57"/>
    </row>
    <row r="15" spans="1:29" s="1" customFormat="1" ht="66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8" t="s">
        <v>36</v>
      </c>
      <c r="N15" s="28"/>
      <c r="O15" s="28"/>
      <c r="P15" s="28" t="s">
        <v>44</v>
      </c>
      <c r="Q15" s="28"/>
      <c r="R15" s="28"/>
      <c r="S15" s="56">
        <f>301080</f>
        <v>301080</v>
      </c>
      <c r="T15" s="56"/>
      <c r="U15" s="56"/>
      <c r="V15" s="56">
        <f>285199.94</f>
        <v>285199.94</v>
      </c>
      <c r="W15" s="56"/>
      <c r="X15" s="56"/>
      <c r="Y15" s="56"/>
      <c r="Z15" s="56"/>
      <c r="AA15" s="58">
        <f>15880.06</f>
        <v>15880.06</v>
      </c>
      <c r="AB15" s="58"/>
      <c r="AC15" s="58"/>
    </row>
    <row r="16" spans="1:29" s="1" customFormat="1" ht="66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8" t="s">
        <v>36</v>
      </c>
      <c r="N16" s="28"/>
      <c r="O16" s="28"/>
      <c r="P16" s="28" t="s">
        <v>46</v>
      </c>
      <c r="Q16" s="28"/>
      <c r="R16" s="28"/>
      <c r="S16" s="56">
        <f>-32790</f>
        <v>-32790</v>
      </c>
      <c r="T16" s="56"/>
      <c r="U16" s="56"/>
      <c r="V16" s="56">
        <f>-35953.24</f>
        <v>-35953.24</v>
      </c>
      <c r="W16" s="56"/>
      <c r="X16" s="56"/>
      <c r="Y16" s="56"/>
      <c r="Z16" s="56"/>
      <c r="AA16" s="57" t="s">
        <v>42</v>
      </c>
      <c r="AB16" s="57"/>
      <c r="AC16" s="57"/>
    </row>
    <row r="17" spans="1:29" s="1" customFormat="1" ht="45" customHeight="1">
      <c r="A17" s="26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 t="s">
        <v>36</v>
      </c>
      <c r="N17" s="28"/>
      <c r="O17" s="28"/>
      <c r="P17" s="28" t="s">
        <v>48</v>
      </c>
      <c r="Q17" s="28"/>
      <c r="R17" s="28"/>
      <c r="S17" s="56">
        <f>13956193</f>
        <v>13956193</v>
      </c>
      <c r="T17" s="56"/>
      <c r="U17" s="56"/>
      <c r="V17" s="30" t="s">
        <v>42</v>
      </c>
      <c r="W17" s="30"/>
      <c r="X17" s="30"/>
      <c r="Y17" s="30"/>
      <c r="Z17" s="30"/>
      <c r="AA17" s="58">
        <f>13956193</f>
        <v>13956193</v>
      </c>
      <c r="AB17" s="58"/>
      <c r="AC17" s="58"/>
    </row>
    <row r="18" spans="1:29" s="1" customFormat="1" ht="45" customHeight="1">
      <c r="A18" s="26" t="s">
        <v>47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8" t="s">
        <v>36</v>
      </c>
      <c r="N18" s="28"/>
      <c r="O18" s="28"/>
      <c r="P18" s="28" t="s">
        <v>49</v>
      </c>
      <c r="Q18" s="28"/>
      <c r="R18" s="28"/>
      <c r="S18" s="30" t="s">
        <v>42</v>
      </c>
      <c r="T18" s="30"/>
      <c r="U18" s="30"/>
      <c r="V18" s="56">
        <f>13136028.25</f>
        <v>13136028.25</v>
      </c>
      <c r="W18" s="56"/>
      <c r="X18" s="56"/>
      <c r="Y18" s="56"/>
      <c r="Z18" s="56"/>
      <c r="AA18" s="57" t="s">
        <v>42</v>
      </c>
      <c r="AB18" s="57"/>
      <c r="AC18" s="57"/>
    </row>
    <row r="19" spans="1:29" s="1" customFormat="1" ht="45" customHeight="1">
      <c r="A19" s="26" t="s">
        <v>47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8" t="s">
        <v>36</v>
      </c>
      <c r="N19" s="28"/>
      <c r="O19" s="28"/>
      <c r="P19" s="28" t="s">
        <v>50</v>
      </c>
      <c r="Q19" s="28"/>
      <c r="R19" s="28"/>
      <c r="S19" s="30" t="s">
        <v>42</v>
      </c>
      <c r="T19" s="30"/>
      <c r="U19" s="30"/>
      <c r="V19" s="56">
        <f>24443.46</f>
        <v>24443.46</v>
      </c>
      <c r="W19" s="56"/>
      <c r="X19" s="56"/>
      <c r="Y19" s="56"/>
      <c r="Z19" s="56"/>
      <c r="AA19" s="57" t="s">
        <v>42</v>
      </c>
      <c r="AB19" s="57"/>
      <c r="AC19" s="57"/>
    </row>
    <row r="20" spans="1:29" s="1" customFormat="1" ht="45" customHeight="1">
      <c r="A20" s="26" t="s">
        <v>47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8" t="s">
        <v>36</v>
      </c>
      <c r="N20" s="28"/>
      <c r="O20" s="28"/>
      <c r="P20" s="28" t="s">
        <v>51</v>
      </c>
      <c r="Q20" s="28"/>
      <c r="R20" s="28"/>
      <c r="S20" s="30" t="s">
        <v>42</v>
      </c>
      <c r="T20" s="30"/>
      <c r="U20" s="30"/>
      <c r="V20" s="56">
        <f>6082</f>
        <v>6082</v>
      </c>
      <c r="W20" s="56"/>
      <c r="X20" s="56"/>
      <c r="Y20" s="56"/>
      <c r="Z20" s="56"/>
      <c r="AA20" s="57" t="s">
        <v>42</v>
      </c>
      <c r="AB20" s="57"/>
      <c r="AC20" s="57"/>
    </row>
    <row r="21" spans="1:29" s="1" customFormat="1" ht="66" customHeight="1">
      <c r="A21" s="26" t="s">
        <v>52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8" t="s">
        <v>36</v>
      </c>
      <c r="N21" s="28"/>
      <c r="O21" s="28"/>
      <c r="P21" s="28" t="s">
        <v>53</v>
      </c>
      <c r="Q21" s="28"/>
      <c r="R21" s="28"/>
      <c r="S21" s="56">
        <f>5000</f>
        <v>5000</v>
      </c>
      <c r="T21" s="56"/>
      <c r="U21" s="56"/>
      <c r="V21" s="30" t="s">
        <v>42</v>
      </c>
      <c r="W21" s="30"/>
      <c r="X21" s="30"/>
      <c r="Y21" s="30"/>
      <c r="Z21" s="30"/>
      <c r="AA21" s="58">
        <f>5000</f>
        <v>5000</v>
      </c>
      <c r="AB21" s="58"/>
      <c r="AC21" s="58"/>
    </row>
    <row r="22" spans="1:29" s="1" customFormat="1" ht="24" customHeight="1">
      <c r="A22" s="26" t="s">
        <v>54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8" t="s">
        <v>36</v>
      </c>
      <c r="N22" s="28"/>
      <c r="O22" s="28"/>
      <c r="P22" s="28" t="s">
        <v>55</v>
      </c>
      <c r="Q22" s="28"/>
      <c r="R22" s="28"/>
      <c r="S22" s="30" t="s">
        <v>42</v>
      </c>
      <c r="T22" s="30"/>
      <c r="U22" s="30"/>
      <c r="V22" s="56">
        <f>9526.66</f>
        <v>9526.66</v>
      </c>
      <c r="W22" s="56"/>
      <c r="X22" s="56"/>
      <c r="Y22" s="56"/>
      <c r="Z22" s="56"/>
      <c r="AA22" s="57" t="s">
        <v>42</v>
      </c>
      <c r="AB22" s="57"/>
      <c r="AC22" s="57"/>
    </row>
    <row r="23" spans="1:29" s="1" customFormat="1" ht="24" customHeight="1">
      <c r="A23" s="26" t="s">
        <v>54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 t="s">
        <v>36</v>
      </c>
      <c r="N23" s="28"/>
      <c r="O23" s="28"/>
      <c r="P23" s="28" t="s">
        <v>56</v>
      </c>
      <c r="Q23" s="28"/>
      <c r="R23" s="28"/>
      <c r="S23" s="30" t="s">
        <v>42</v>
      </c>
      <c r="T23" s="30"/>
      <c r="U23" s="30"/>
      <c r="V23" s="56">
        <f>0.89</f>
        <v>0.89</v>
      </c>
      <c r="W23" s="56"/>
      <c r="X23" s="56"/>
      <c r="Y23" s="56"/>
      <c r="Z23" s="56"/>
      <c r="AA23" s="57" t="s">
        <v>42</v>
      </c>
      <c r="AB23" s="57"/>
      <c r="AC23" s="57"/>
    </row>
    <row r="24" spans="1:29" s="1" customFormat="1" ht="24" customHeight="1">
      <c r="A24" s="26" t="s">
        <v>54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8" t="s">
        <v>36</v>
      </c>
      <c r="N24" s="28"/>
      <c r="O24" s="28"/>
      <c r="P24" s="28" t="s">
        <v>57</v>
      </c>
      <c r="Q24" s="28"/>
      <c r="R24" s="28"/>
      <c r="S24" s="30" t="s">
        <v>42</v>
      </c>
      <c r="T24" s="30"/>
      <c r="U24" s="30"/>
      <c r="V24" s="56">
        <f>100</f>
        <v>100</v>
      </c>
      <c r="W24" s="56"/>
      <c r="X24" s="56"/>
      <c r="Y24" s="56"/>
      <c r="Z24" s="56"/>
      <c r="AA24" s="57" t="s">
        <v>42</v>
      </c>
      <c r="AB24" s="57"/>
      <c r="AC24" s="57"/>
    </row>
    <row r="25" spans="1:29" s="1" customFormat="1" ht="54.75" customHeight="1">
      <c r="A25" s="26" t="s">
        <v>58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8" t="s">
        <v>36</v>
      </c>
      <c r="N25" s="28"/>
      <c r="O25" s="28"/>
      <c r="P25" s="28" t="s">
        <v>59</v>
      </c>
      <c r="Q25" s="28"/>
      <c r="R25" s="28"/>
      <c r="S25" s="30" t="s">
        <v>42</v>
      </c>
      <c r="T25" s="30"/>
      <c r="U25" s="30"/>
      <c r="V25" s="56">
        <f>13134.6</f>
        <v>13134.6</v>
      </c>
      <c r="W25" s="56"/>
      <c r="X25" s="56"/>
      <c r="Y25" s="56"/>
      <c r="Z25" s="56"/>
      <c r="AA25" s="57" t="s">
        <v>42</v>
      </c>
      <c r="AB25" s="57"/>
      <c r="AC25" s="57"/>
    </row>
    <row r="26" spans="1:29" s="1" customFormat="1" ht="24" customHeight="1">
      <c r="A26" s="26" t="s">
        <v>60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8" t="s">
        <v>36</v>
      </c>
      <c r="N26" s="28"/>
      <c r="O26" s="28"/>
      <c r="P26" s="28" t="s">
        <v>61</v>
      </c>
      <c r="Q26" s="28"/>
      <c r="R26" s="28"/>
      <c r="S26" s="56">
        <f>347000</f>
        <v>347000</v>
      </c>
      <c r="T26" s="56"/>
      <c r="U26" s="56"/>
      <c r="V26" s="30" t="s">
        <v>42</v>
      </c>
      <c r="W26" s="30"/>
      <c r="X26" s="30"/>
      <c r="Y26" s="30"/>
      <c r="Z26" s="30"/>
      <c r="AA26" s="58">
        <f>347000</f>
        <v>347000</v>
      </c>
      <c r="AB26" s="58"/>
      <c r="AC26" s="58"/>
    </row>
    <row r="27" spans="1:29" s="1" customFormat="1" ht="33.75" customHeight="1">
      <c r="A27" s="26" t="s">
        <v>62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8" t="s">
        <v>36</v>
      </c>
      <c r="N27" s="28"/>
      <c r="O27" s="28"/>
      <c r="P27" s="28" t="s">
        <v>63</v>
      </c>
      <c r="Q27" s="28"/>
      <c r="R27" s="28"/>
      <c r="S27" s="30" t="s">
        <v>42</v>
      </c>
      <c r="T27" s="30"/>
      <c r="U27" s="30"/>
      <c r="V27" s="56">
        <f>260306.06</f>
        <v>260306.06</v>
      </c>
      <c r="W27" s="56"/>
      <c r="X27" s="56"/>
      <c r="Y27" s="56"/>
      <c r="Z27" s="56"/>
      <c r="AA27" s="57" t="s">
        <v>42</v>
      </c>
      <c r="AB27" s="57"/>
      <c r="AC27" s="57"/>
    </row>
    <row r="28" spans="1:29" s="1" customFormat="1" ht="33.75" customHeight="1">
      <c r="A28" s="26" t="s">
        <v>62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8" t="s">
        <v>36</v>
      </c>
      <c r="N28" s="28"/>
      <c r="O28" s="28"/>
      <c r="P28" s="28" t="s">
        <v>64</v>
      </c>
      <c r="Q28" s="28"/>
      <c r="R28" s="28"/>
      <c r="S28" s="30" t="s">
        <v>42</v>
      </c>
      <c r="T28" s="30"/>
      <c r="U28" s="30"/>
      <c r="V28" s="56">
        <f>481.71</f>
        <v>481.71</v>
      </c>
      <c r="W28" s="56"/>
      <c r="X28" s="56"/>
      <c r="Y28" s="56"/>
      <c r="Z28" s="56"/>
      <c r="AA28" s="57" t="s">
        <v>42</v>
      </c>
      <c r="AB28" s="57"/>
      <c r="AC28" s="57"/>
    </row>
    <row r="29" spans="1:29" s="1" customFormat="1" ht="13.5" customHeight="1">
      <c r="A29" s="26" t="s">
        <v>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 t="s">
        <v>36</v>
      </c>
      <c r="N29" s="28"/>
      <c r="O29" s="28"/>
      <c r="P29" s="28" t="s">
        <v>66</v>
      </c>
      <c r="Q29" s="28"/>
      <c r="R29" s="28"/>
      <c r="S29" s="56">
        <f>2000</f>
        <v>2000</v>
      </c>
      <c r="T29" s="56"/>
      <c r="U29" s="56"/>
      <c r="V29" s="30" t="s">
        <v>42</v>
      </c>
      <c r="W29" s="30"/>
      <c r="X29" s="30"/>
      <c r="Y29" s="30"/>
      <c r="Z29" s="30"/>
      <c r="AA29" s="58">
        <f>2000</f>
        <v>2000</v>
      </c>
      <c r="AB29" s="58"/>
      <c r="AC29" s="58"/>
    </row>
    <row r="30" spans="1:29" s="1" customFormat="1" ht="13.5" customHeight="1">
      <c r="A30" s="26" t="s">
        <v>65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8" t="s">
        <v>36</v>
      </c>
      <c r="N30" s="28"/>
      <c r="O30" s="28"/>
      <c r="P30" s="28" t="s">
        <v>67</v>
      </c>
      <c r="Q30" s="28"/>
      <c r="R30" s="28"/>
      <c r="S30" s="30" t="s">
        <v>42</v>
      </c>
      <c r="T30" s="30"/>
      <c r="U30" s="30"/>
      <c r="V30" s="56">
        <f>31985.91</f>
        <v>31985.91</v>
      </c>
      <c r="W30" s="56"/>
      <c r="X30" s="56"/>
      <c r="Y30" s="56"/>
      <c r="Z30" s="56"/>
      <c r="AA30" s="57" t="s">
        <v>42</v>
      </c>
      <c r="AB30" s="57"/>
      <c r="AC30" s="57"/>
    </row>
    <row r="31" spans="1:29" s="1" customFormat="1" ht="13.5" customHeight="1">
      <c r="A31" s="26" t="s">
        <v>65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 t="s">
        <v>36</v>
      </c>
      <c r="N31" s="28"/>
      <c r="O31" s="28"/>
      <c r="P31" s="28" t="s">
        <v>68</v>
      </c>
      <c r="Q31" s="28"/>
      <c r="R31" s="28"/>
      <c r="S31" s="30" t="s">
        <v>42</v>
      </c>
      <c r="T31" s="30"/>
      <c r="U31" s="30"/>
      <c r="V31" s="56">
        <f>3251.7</f>
        <v>3251.7</v>
      </c>
      <c r="W31" s="56"/>
      <c r="X31" s="56"/>
      <c r="Y31" s="56"/>
      <c r="Z31" s="56"/>
      <c r="AA31" s="57" t="s">
        <v>42</v>
      </c>
      <c r="AB31" s="57"/>
      <c r="AC31" s="57"/>
    </row>
    <row r="32" spans="1:29" s="1" customFormat="1" ht="13.5" customHeight="1">
      <c r="A32" s="26" t="s">
        <v>65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 t="s">
        <v>36</v>
      </c>
      <c r="N32" s="28"/>
      <c r="O32" s="28"/>
      <c r="P32" s="28" t="s">
        <v>69</v>
      </c>
      <c r="Q32" s="28"/>
      <c r="R32" s="28"/>
      <c r="S32" s="30" t="s">
        <v>42</v>
      </c>
      <c r="T32" s="30"/>
      <c r="U32" s="30"/>
      <c r="V32" s="56">
        <f>366.5</f>
        <v>366.5</v>
      </c>
      <c r="W32" s="56"/>
      <c r="X32" s="56"/>
      <c r="Y32" s="56"/>
      <c r="Z32" s="56"/>
      <c r="AA32" s="57" t="s">
        <v>42</v>
      </c>
      <c r="AB32" s="57"/>
      <c r="AC32" s="57"/>
    </row>
    <row r="33" spans="1:29" s="1" customFormat="1" ht="13.5" customHeight="1">
      <c r="A33" s="26" t="s">
        <v>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8" t="s">
        <v>36</v>
      </c>
      <c r="N33" s="28"/>
      <c r="O33" s="28"/>
      <c r="P33" s="28" t="s">
        <v>71</v>
      </c>
      <c r="Q33" s="28"/>
      <c r="R33" s="28"/>
      <c r="S33" s="56">
        <f>42000</f>
        <v>42000</v>
      </c>
      <c r="T33" s="56"/>
      <c r="U33" s="56"/>
      <c r="V33" s="30" t="s">
        <v>42</v>
      </c>
      <c r="W33" s="30"/>
      <c r="X33" s="30"/>
      <c r="Y33" s="30"/>
      <c r="Z33" s="30"/>
      <c r="AA33" s="58">
        <f>42000</f>
        <v>42000</v>
      </c>
      <c r="AB33" s="58"/>
      <c r="AC33" s="58"/>
    </row>
    <row r="34" spans="1:29" s="1" customFormat="1" ht="13.5" customHeight="1">
      <c r="A34" s="26" t="s">
        <v>70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8" t="s">
        <v>36</v>
      </c>
      <c r="N34" s="28"/>
      <c r="O34" s="28"/>
      <c r="P34" s="28" t="s">
        <v>72</v>
      </c>
      <c r="Q34" s="28"/>
      <c r="R34" s="28"/>
      <c r="S34" s="30" t="s">
        <v>42</v>
      </c>
      <c r="T34" s="30"/>
      <c r="U34" s="30"/>
      <c r="V34" s="56">
        <f>39391.89</f>
        <v>39391.89</v>
      </c>
      <c r="W34" s="56"/>
      <c r="X34" s="56"/>
      <c r="Y34" s="56"/>
      <c r="Z34" s="56"/>
      <c r="AA34" s="57" t="s">
        <v>42</v>
      </c>
      <c r="AB34" s="57"/>
      <c r="AC34" s="57"/>
    </row>
    <row r="35" spans="1:29" s="1" customFormat="1" ht="13.5" customHeight="1">
      <c r="A35" s="26" t="s">
        <v>70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8" t="s">
        <v>36</v>
      </c>
      <c r="N35" s="28"/>
      <c r="O35" s="28"/>
      <c r="P35" s="28" t="s">
        <v>73</v>
      </c>
      <c r="Q35" s="28"/>
      <c r="R35" s="28"/>
      <c r="S35" s="30" t="s">
        <v>42</v>
      </c>
      <c r="T35" s="30"/>
      <c r="U35" s="30"/>
      <c r="V35" s="56">
        <f>-136.84</f>
        <v>-136.84</v>
      </c>
      <c r="W35" s="56"/>
      <c r="X35" s="56"/>
      <c r="Y35" s="56"/>
      <c r="Z35" s="56"/>
      <c r="AA35" s="57" t="s">
        <v>42</v>
      </c>
      <c r="AB35" s="57"/>
      <c r="AC35" s="57"/>
    </row>
    <row r="36" spans="1:29" s="1" customFormat="1" ht="24" customHeight="1">
      <c r="A36" s="26" t="s">
        <v>74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8" t="s">
        <v>36</v>
      </c>
      <c r="N36" s="28"/>
      <c r="O36" s="28"/>
      <c r="P36" s="28" t="s">
        <v>75</v>
      </c>
      <c r="Q36" s="28"/>
      <c r="R36" s="28"/>
      <c r="S36" s="56">
        <f>80000</f>
        <v>80000</v>
      </c>
      <c r="T36" s="56"/>
      <c r="U36" s="56"/>
      <c r="V36" s="30" t="s">
        <v>42</v>
      </c>
      <c r="W36" s="30"/>
      <c r="X36" s="30"/>
      <c r="Y36" s="30"/>
      <c r="Z36" s="30"/>
      <c r="AA36" s="58">
        <f>80000</f>
        <v>80000</v>
      </c>
      <c r="AB36" s="58"/>
      <c r="AC36" s="58"/>
    </row>
    <row r="37" spans="1:29" s="1" customFormat="1" ht="24" customHeight="1">
      <c r="A37" s="26" t="s">
        <v>76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8" t="s">
        <v>36</v>
      </c>
      <c r="N37" s="28"/>
      <c r="O37" s="28"/>
      <c r="P37" s="28" t="s">
        <v>77</v>
      </c>
      <c r="Q37" s="28"/>
      <c r="R37" s="28"/>
      <c r="S37" s="30" t="s">
        <v>42</v>
      </c>
      <c r="T37" s="30"/>
      <c r="U37" s="30"/>
      <c r="V37" s="56">
        <f>125761.73</f>
        <v>125761.73</v>
      </c>
      <c r="W37" s="56"/>
      <c r="X37" s="56"/>
      <c r="Y37" s="56"/>
      <c r="Z37" s="56"/>
      <c r="AA37" s="57" t="s">
        <v>42</v>
      </c>
      <c r="AB37" s="57"/>
      <c r="AC37" s="57"/>
    </row>
    <row r="38" spans="1:29" s="1" customFormat="1" ht="24" customHeight="1">
      <c r="A38" s="26" t="s">
        <v>76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8" t="s">
        <v>36</v>
      </c>
      <c r="N38" s="28"/>
      <c r="O38" s="28"/>
      <c r="P38" s="28" t="s">
        <v>78</v>
      </c>
      <c r="Q38" s="28"/>
      <c r="R38" s="28"/>
      <c r="S38" s="30" t="s">
        <v>42</v>
      </c>
      <c r="T38" s="30"/>
      <c r="U38" s="30"/>
      <c r="V38" s="56">
        <f>23766.73</f>
        <v>23766.73</v>
      </c>
      <c r="W38" s="56"/>
      <c r="X38" s="56"/>
      <c r="Y38" s="56"/>
      <c r="Z38" s="56"/>
      <c r="AA38" s="57" t="s">
        <v>42</v>
      </c>
      <c r="AB38" s="57"/>
      <c r="AC38" s="57"/>
    </row>
    <row r="39" spans="1:29" s="1" customFormat="1" ht="24" customHeight="1">
      <c r="A39" s="26" t="s">
        <v>79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8" t="s">
        <v>36</v>
      </c>
      <c r="N39" s="28"/>
      <c r="O39" s="28"/>
      <c r="P39" s="28" t="s">
        <v>80</v>
      </c>
      <c r="Q39" s="28"/>
      <c r="R39" s="28"/>
      <c r="S39" s="56">
        <f>21000</f>
        <v>21000</v>
      </c>
      <c r="T39" s="56"/>
      <c r="U39" s="56"/>
      <c r="V39" s="30" t="s">
        <v>42</v>
      </c>
      <c r="W39" s="30"/>
      <c r="X39" s="30"/>
      <c r="Y39" s="30"/>
      <c r="Z39" s="30"/>
      <c r="AA39" s="58">
        <f>21000</f>
        <v>21000</v>
      </c>
      <c r="AB39" s="58"/>
      <c r="AC39" s="58"/>
    </row>
    <row r="40" spans="1:29" s="1" customFormat="1" ht="24" customHeight="1">
      <c r="A40" s="26" t="s">
        <v>81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8" t="s">
        <v>36</v>
      </c>
      <c r="N40" s="28"/>
      <c r="O40" s="28"/>
      <c r="P40" s="28" t="s">
        <v>82</v>
      </c>
      <c r="Q40" s="28"/>
      <c r="R40" s="28"/>
      <c r="S40" s="30" t="s">
        <v>42</v>
      </c>
      <c r="T40" s="30"/>
      <c r="U40" s="30"/>
      <c r="V40" s="56">
        <f>17648.89</f>
        <v>17648.89</v>
      </c>
      <c r="W40" s="56"/>
      <c r="X40" s="56"/>
      <c r="Y40" s="56"/>
      <c r="Z40" s="56"/>
      <c r="AA40" s="57" t="s">
        <v>42</v>
      </c>
      <c r="AB40" s="57"/>
      <c r="AC40" s="57"/>
    </row>
    <row r="41" spans="1:29" s="1" customFormat="1" ht="24" customHeight="1">
      <c r="A41" s="26" t="s">
        <v>81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8" t="s">
        <v>36</v>
      </c>
      <c r="N41" s="28"/>
      <c r="O41" s="28"/>
      <c r="P41" s="28" t="s">
        <v>83</v>
      </c>
      <c r="Q41" s="28"/>
      <c r="R41" s="28"/>
      <c r="S41" s="30" t="s">
        <v>42</v>
      </c>
      <c r="T41" s="30"/>
      <c r="U41" s="30"/>
      <c r="V41" s="56">
        <f>81.86</f>
        <v>81.86</v>
      </c>
      <c r="W41" s="56"/>
      <c r="X41" s="56"/>
      <c r="Y41" s="56"/>
      <c r="Z41" s="56"/>
      <c r="AA41" s="57" t="s">
        <v>42</v>
      </c>
      <c r="AB41" s="57"/>
      <c r="AC41" s="57"/>
    </row>
    <row r="42" spans="1:29" s="1" customFormat="1" ht="45" customHeight="1">
      <c r="A42" s="26" t="s">
        <v>84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8" t="s">
        <v>36</v>
      </c>
      <c r="N42" s="28"/>
      <c r="O42" s="28"/>
      <c r="P42" s="28" t="s">
        <v>85</v>
      </c>
      <c r="Q42" s="28"/>
      <c r="R42" s="28"/>
      <c r="S42" s="56">
        <f>10000</f>
        <v>10000</v>
      </c>
      <c r="T42" s="56"/>
      <c r="U42" s="56"/>
      <c r="V42" s="30" t="s">
        <v>42</v>
      </c>
      <c r="W42" s="30"/>
      <c r="X42" s="30"/>
      <c r="Y42" s="30"/>
      <c r="Z42" s="30"/>
      <c r="AA42" s="58">
        <f>10000</f>
        <v>10000</v>
      </c>
      <c r="AB42" s="58"/>
      <c r="AC42" s="58"/>
    </row>
    <row r="43" spans="1:29" s="1" customFormat="1" ht="45" customHeight="1">
      <c r="A43" s="26" t="s">
        <v>84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8" t="s">
        <v>36</v>
      </c>
      <c r="N43" s="28"/>
      <c r="O43" s="28"/>
      <c r="P43" s="28" t="s">
        <v>86</v>
      </c>
      <c r="Q43" s="28"/>
      <c r="R43" s="28"/>
      <c r="S43" s="30" t="s">
        <v>42</v>
      </c>
      <c r="T43" s="30"/>
      <c r="U43" s="30"/>
      <c r="V43" s="56">
        <f>5260</f>
        <v>5260</v>
      </c>
      <c r="W43" s="56"/>
      <c r="X43" s="56"/>
      <c r="Y43" s="56"/>
      <c r="Z43" s="56"/>
      <c r="AA43" s="57" t="s">
        <v>42</v>
      </c>
      <c r="AB43" s="57"/>
      <c r="AC43" s="57"/>
    </row>
    <row r="44" spans="1:29" s="1" customFormat="1" ht="24" customHeight="1">
      <c r="A44" s="26" t="s">
        <v>87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8" t="s">
        <v>36</v>
      </c>
      <c r="N44" s="28"/>
      <c r="O44" s="28"/>
      <c r="P44" s="28" t="s">
        <v>88</v>
      </c>
      <c r="Q44" s="28"/>
      <c r="R44" s="28"/>
      <c r="S44" s="56">
        <f>360000</f>
        <v>360000</v>
      </c>
      <c r="T44" s="56"/>
      <c r="U44" s="56"/>
      <c r="V44" s="56">
        <f>335150.87</f>
        <v>335150.87</v>
      </c>
      <c r="W44" s="56"/>
      <c r="X44" s="56"/>
      <c r="Y44" s="56"/>
      <c r="Z44" s="56"/>
      <c r="AA44" s="58">
        <f>24849.13</f>
        <v>24849.13</v>
      </c>
      <c r="AB44" s="58"/>
      <c r="AC44" s="58"/>
    </row>
    <row r="45" spans="1:29" s="1" customFormat="1" ht="45" customHeight="1">
      <c r="A45" s="26" t="s">
        <v>89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8" t="s">
        <v>36</v>
      </c>
      <c r="N45" s="28"/>
      <c r="O45" s="28"/>
      <c r="P45" s="28" t="s">
        <v>90</v>
      </c>
      <c r="Q45" s="28"/>
      <c r="R45" s="28"/>
      <c r="S45" s="56">
        <f>200000</f>
        <v>200000</v>
      </c>
      <c r="T45" s="56"/>
      <c r="U45" s="56"/>
      <c r="V45" s="56">
        <f>174172.56</f>
        <v>174172.56</v>
      </c>
      <c r="W45" s="56"/>
      <c r="X45" s="56"/>
      <c r="Y45" s="56"/>
      <c r="Z45" s="56"/>
      <c r="AA45" s="58">
        <f>25827.44</f>
        <v>25827.44</v>
      </c>
      <c r="AB45" s="58"/>
      <c r="AC45" s="58"/>
    </row>
    <row r="46" spans="1:29" s="1" customFormat="1" ht="13.5" customHeight="1">
      <c r="A46" s="26" t="s">
        <v>91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8" t="s">
        <v>36</v>
      </c>
      <c r="N46" s="28"/>
      <c r="O46" s="28"/>
      <c r="P46" s="28" t="s">
        <v>92</v>
      </c>
      <c r="Q46" s="28"/>
      <c r="R46" s="28"/>
      <c r="S46" s="56">
        <f>303569.01</f>
        <v>303569.01</v>
      </c>
      <c r="T46" s="56"/>
      <c r="U46" s="56"/>
      <c r="V46" s="56">
        <f>303569.01</f>
        <v>303569.01</v>
      </c>
      <c r="W46" s="56"/>
      <c r="X46" s="56"/>
      <c r="Y46" s="56"/>
      <c r="Z46" s="56"/>
      <c r="AA46" s="58">
        <f>0</f>
        <v>0</v>
      </c>
      <c r="AB46" s="58"/>
      <c r="AC46" s="58"/>
    </row>
    <row r="47" spans="1:29" s="1" customFormat="1" ht="13.5" customHeight="1">
      <c r="A47" s="26" t="s">
        <v>93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8" t="s">
        <v>36</v>
      </c>
      <c r="N47" s="28"/>
      <c r="O47" s="28"/>
      <c r="P47" s="28" t="s">
        <v>94</v>
      </c>
      <c r="Q47" s="28"/>
      <c r="R47" s="28"/>
      <c r="S47" s="56">
        <f>9000000</f>
        <v>9000000</v>
      </c>
      <c r="T47" s="56"/>
      <c r="U47" s="56"/>
      <c r="V47" s="56">
        <f>6661103.04</f>
        <v>6661103.04</v>
      </c>
      <c r="W47" s="56"/>
      <c r="X47" s="56"/>
      <c r="Y47" s="56"/>
      <c r="Z47" s="56"/>
      <c r="AA47" s="58">
        <f>2338896.96</f>
        <v>2338896.96</v>
      </c>
      <c r="AB47" s="58"/>
      <c r="AC47" s="58"/>
    </row>
    <row r="48" spans="1:29" s="1" customFormat="1" ht="13.5" customHeight="1">
      <c r="A48" s="26" t="s">
        <v>95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8" t="s">
        <v>36</v>
      </c>
      <c r="N48" s="28"/>
      <c r="O48" s="28"/>
      <c r="P48" s="28" t="s">
        <v>96</v>
      </c>
      <c r="Q48" s="28"/>
      <c r="R48" s="28"/>
      <c r="S48" s="30" t="s">
        <v>42</v>
      </c>
      <c r="T48" s="30"/>
      <c r="U48" s="30"/>
      <c r="V48" s="56">
        <f>0</f>
        <v>0</v>
      </c>
      <c r="W48" s="56"/>
      <c r="X48" s="56"/>
      <c r="Y48" s="56"/>
      <c r="Z48" s="56"/>
      <c r="AA48" s="57" t="s">
        <v>42</v>
      </c>
      <c r="AB48" s="57"/>
      <c r="AC48" s="57"/>
    </row>
    <row r="49" spans="1:29" s="1" customFormat="1" ht="13.5" customHeight="1">
      <c r="A49" s="26" t="s">
        <v>97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8" t="s">
        <v>36</v>
      </c>
      <c r="N49" s="28"/>
      <c r="O49" s="28"/>
      <c r="P49" s="28" t="s">
        <v>98</v>
      </c>
      <c r="Q49" s="28"/>
      <c r="R49" s="28"/>
      <c r="S49" s="30" t="s">
        <v>42</v>
      </c>
      <c r="T49" s="30"/>
      <c r="U49" s="30"/>
      <c r="V49" s="56">
        <f>0</f>
        <v>0</v>
      </c>
      <c r="W49" s="56"/>
      <c r="X49" s="56"/>
      <c r="Y49" s="56"/>
      <c r="Z49" s="56"/>
      <c r="AA49" s="57" t="s">
        <v>42</v>
      </c>
      <c r="AB49" s="57"/>
      <c r="AC49" s="57"/>
    </row>
    <row r="50" spans="1:29" s="1" customFormat="1" ht="13.5" customHeight="1">
      <c r="A50" s="26" t="s">
        <v>99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8" t="s">
        <v>36</v>
      </c>
      <c r="N50" s="28"/>
      <c r="O50" s="28"/>
      <c r="P50" s="28" t="s">
        <v>100</v>
      </c>
      <c r="Q50" s="28"/>
      <c r="R50" s="28"/>
      <c r="S50" s="56">
        <f>20000</f>
        <v>20000</v>
      </c>
      <c r="T50" s="56"/>
      <c r="U50" s="56"/>
      <c r="V50" s="56">
        <f>20000</f>
        <v>20000</v>
      </c>
      <c r="W50" s="56"/>
      <c r="X50" s="56"/>
      <c r="Y50" s="56"/>
      <c r="Z50" s="56"/>
      <c r="AA50" s="58">
        <f>0</f>
        <v>0</v>
      </c>
      <c r="AB50" s="58"/>
      <c r="AC50" s="58"/>
    </row>
    <row r="51" spans="1:29" s="1" customFormat="1" ht="13.5" customHeight="1">
      <c r="A51" s="26" t="s">
        <v>99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8" t="s">
        <v>36</v>
      </c>
      <c r="N51" s="28"/>
      <c r="O51" s="28"/>
      <c r="P51" s="28" t="s">
        <v>101</v>
      </c>
      <c r="Q51" s="28"/>
      <c r="R51" s="28"/>
      <c r="S51" s="56">
        <f>26500</f>
        <v>26500</v>
      </c>
      <c r="T51" s="56"/>
      <c r="U51" s="56"/>
      <c r="V51" s="56">
        <f>26500</f>
        <v>26500</v>
      </c>
      <c r="W51" s="56"/>
      <c r="X51" s="56"/>
      <c r="Y51" s="56"/>
      <c r="Z51" s="56"/>
      <c r="AA51" s="58">
        <f>0</f>
        <v>0</v>
      </c>
      <c r="AB51" s="58"/>
      <c r="AC51" s="58"/>
    </row>
    <row r="52" spans="1:29" s="1" customFormat="1" ht="13.5" customHeight="1">
      <c r="A52" s="26" t="s">
        <v>99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8" t="s">
        <v>36</v>
      </c>
      <c r="N52" s="28"/>
      <c r="O52" s="28"/>
      <c r="P52" s="28" t="s">
        <v>102</v>
      </c>
      <c r="Q52" s="28"/>
      <c r="R52" s="28"/>
      <c r="S52" s="56">
        <f>15000</f>
        <v>15000</v>
      </c>
      <c r="T52" s="56"/>
      <c r="U52" s="56"/>
      <c r="V52" s="56">
        <f>15000</f>
        <v>15000</v>
      </c>
      <c r="W52" s="56"/>
      <c r="X52" s="56"/>
      <c r="Y52" s="56"/>
      <c r="Z52" s="56"/>
      <c r="AA52" s="58">
        <f>0</f>
        <v>0</v>
      </c>
      <c r="AB52" s="58"/>
      <c r="AC52" s="58"/>
    </row>
    <row r="53" spans="1:29" s="1" customFormat="1" ht="24" customHeight="1">
      <c r="A53" s="26" t="s">
        <v>103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8" t="s">
        <v>36</v>
      </c>
      <c r="N53" s="28"/>
      <c r="O53" s="28"/>
      <c r="P53" s="28" t="s">
        <v>104</v>
      </c>
      <c r="Q53" s="28"/>
      <c r="R53" s="28"/>
      <c r="S53" s="56">
        <f>6203600</f>
        <v>6203600</v>
      </c>
      <c r="T53" s="56"/>
      <c r="U53" s="56"/>
      <c r="V53" s="56">
        <f>5955247</f>
        <v>5955247</v>
      </c>
      <c r="W53" s="56"/>
      <c r="X53" s="56"/>
      <c r="Y53" s="56"/>
      <c r="Z53" s="56"/>
      <c r="AA53" s="58">
        <f>248353</f>
        <v>248353</v>
      </c>
      <c r="AB53" s="58"/>
      <c r="AC53" s="58"/>
    </row>
    <row r="54" spans="1:29" s="1" customFormat="1" ht="24" customHeight="1">
      <c r="A54" s="26" t="s">
        <v>105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8" t="s">
        <v>36</v>
      </c>
      <c r="N54" s="28"/>
      <c r="O54" s="28"/>
      <c r="P54" s="28" t="s">
        <v>106</v>
      </c>
      <c r="Q54" s="28"/>
      <c r="R54" s="28"/>
      <c r="S54" s="56">
        <f>7639423.08</f>
        <v>7639423.08</v>
      </c>
      <c r="T54" s="56"/>
      <c r="U54" s="56"/>
      <c r="V54" s="56">
        <f>7639423.08</f>
        <v>7639423.08</v>
      </c>
      <c r="W54" s="56"/>
      <c r="X54" s="56"/>
      <c r="Y54" s="56"/>
      <c r="Z54" s="56"/>
      <c r="AA54" s="58">
        <f>0</f>
        <v>0</v>
      </c>
      <c r="AB54" s="58"/>
      <c r="AC54" s="58"/>
    </row>
    <row r="55" spans="1:29" s="1" customFormat="1" ht="13.5" customHeight="1">
      <c r="A55" s="26" t="s">
        <v>107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8" t="s">
        <v>36</v>
      </c>
      <c r="N55" s="28"/>
      <c r="O55" s="28"/>
      <c r="P55" s="28" t="s">
        <v>108</v>
      </c>
      <c r="Q55" s="28"/>
      <c r="R55" s="28"/>
      <c r="S55" s="56">
        <f>819367.27</f>
        <v>819367.27</v>
      </c>
      <c r="T55" s="56"/>
      <c r="U55" s="56"/>
      <c r="V55" s="56">
        <f>819328.81</f>
        <v>819328.81</v>
      </c>
      <c r="W55" s="56"/>
      <c r="X55" s="56"/>
      <c r="Y55" s="56"/>
      <c r="Z55" s="56"/>
      <c r="AA55" s="58">
        <f>38.46</f>
        <v>38.46</v>
      </c>
      <c r="AB55" s="58"/>
      <c r="AC55" s="58"/>
    </row>
    <row r="56" spans="1:29" s="1" customFormat="1" ht="24" customHeight="1">
      <c r="A56" s="26" t="s">
        <v>109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8" t="s">
        <v>36</v>
      </c>
      <c r="N56" s="28"/>
      <c r="O56" s="28"/>
      <c r="P56" s="28" t="s">
        <v>110</v>
      </c>
      <c r="Q56" s="28"/>
      <c r="R56" s="28"/>
      <c r="S56" s="56">
        <f>33208.1</f>
        <v>33208.1</v>
      </c>
      <c r="T56" s="56"/>
      <c r="U56" s="56"/>
      <c r="V56" s="56">
        <f>33208.1</f>
        <v>33208.1</v>
      </c>
      <c r="W56" s="56"/>
      <c r="X56" s="56"/>
      <c r="Y56" s="56"/>
      <c r="Z56" s="56"/>
      <c r="AA56" s="58">
        <f>0</f>
        <v>0</v>
      </c>
      <c r="AB56" s="58"/>
      <c r="AC56" s="58"/>
    </row>
    <row r="57" spans="1:29" s="1" customFormat="1" ht="24" customHeight="1">
      <c r="A57" s="26" t="s">
        <v>111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8" t="s">
        <v>36</v>
      </c>
      <c r="N57" s="28"/>
      <c r="O57" s="28"/>
      <c r="P57" s="28" t="s">
        <v>112</v>
      </c>
      <c r="Q57" s="28"/>
      <c r="R57" s="28"/>
      <c r="S57" s="56">
        <f>251537.5</f>
        <v>251537.5</v>
      </c>
      <c r="T57" s="56"/>
      <c r="U57" s="56"/>
      <c r="V57" s="56">
        <f>193818.43</f>
        <v>193818.43</v>
      </c>
      <c r="W57" s="56"/>
      <c r="X57" s="56"/>
      <c r="Y57" s="56"/>
      <c r="Z57" s="56"/>
      <c r="AA57" s="58">
        <f>57719.07</f>
        <v>57719.07</v>
      </c>
      <c r="AB57" s="58"/>
      <c r="AC57" s="58"/>
    </row>
    <row r="58" spans="1:29" s="1" customFormat="1" ht="24" customHeight="1">
      <c r="A58" s="26" t="s">
        <v>113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8" t="s">
        <v>36</v>
      </c>
      <c r="N58" s="28"/>
      <c r="O58" s="28"/>
      <c r="P58" s="28" t="s">
        <v>114</v>
      </c>
      <c r="Q58" s="28"/>
      <c r="R58" s="28"/>
      <c r="S58" s="56">
        <f>33415862.65</f>
        <v>33415862.65</v>
      </c>
      <c r="T58" s="56"/>
      <c r="U58" s="56"/>
      <c r="V58" s="56">
        <f>33375862.65</f>
        <v>33375862.65</v>
      </c>
      <c r="W58" s="56"/>
      <c r="X58" s="56"/>
      <c r="Y58" s="56"/>
      <c r="Z58" s="56"/>
      <c r="AA58" s="58">
        <f>40000</f>
        <v>40000</v>
      </c>
      <c r="AB58" s="58"/>
      <c r="AC58" s="58"/>
    </row>
    <row r="59" spans="1:29" s="1" customFormat="1" ht="24" customHeight="1">
      <c r="A59" s="26" t="s">
        <v>115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8" t="s">
        <v>36</v>
      </c>
      <c r="N59" s="28"/>
      <c r="O59" s="28"/>
      <c r="P59" s="28" t="s">
        <v>116</v>
      </c>
      <c r="Q59" s="28"/>
      <c r="R59" s="28"/>
      <c r="S59" s="56">
        <f>1324971</f>
        <v>1324971</v>
      </c>
      <c r="T59" s="56"/>
      <c r="U59" s="56"/>
      <c r="V59" s="56">
        <f>1324971</f>
        <v>1324971</v>
      </c>
      <c r="W59" s="56"/>
      <c r="X59" s="56"/>
      <c r="Y59" s="56"/>
      <c r="Z59" s="56"/>
      <c r="AA59" s="58">
        <f>0</f>
        <v>0</v>
      </c>
      <c r="AB59" s="58"/>
      <c r="AC59" s="58"/>
    </row>
    <row r="60" spans="1:29" s="1" customFormat="1" ht="13.5" customHeight="1">
      <c r="A60" s="26" t="s">
        <v>117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8" t="s">
        <v>36</v>
      </c>
      <c r="N60" s="28"/>
      <c r="O60" s="28"/>
      <c r="P60" s="28" t="s">
        <v>118</v>
      </c>
      <c r="Q60" s="28"/>
      <c r="R60" s="28"/>
      <c r="S60" s="30" t="s">
        <v>42</v>
      </c>
      <c r="T60" s="30"/>
      <c r="U60" s="30"/>
      <c r="V60" s="56">
        <f>0</f>
        <v>0</v>
      </c>
      <c r="W60" s="56"/>
      <c r="X60" s="56"/>
      <c r="Y60" s="56"/>
      <c r="Z60" s="56"/>
      <c r="AA60" s="57" t="s">
        <v>42</v>
      </c>
      <c r="AB60" s="57"/>
      <c r="AC60" s="57"/>
    </row>
    <row r="61" spans="1:29" s="1" customFormat="1" ht="54.75" customHeight="1">
      <c r="A61" s="26" t="s">
        <v>119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8" t="s">
        <v>36</v>
      </c>
      <c r="N61" s="28"/>
      <c r="O61" s="28"/>
      <c r="P61" s="28" t="s">
        <v>120</v>
      </c>
      <c r="Q61" s="28"/>
      <c r="R61" s="28"/>
      <c r="S61" s="30" t="s">
        <v>42</v>
      </c>
      <c r="T61" s="30"/>
      <c r="U61" s="30"/>
      <c r="V61" s="56">
        <f>0</f>
        <v>0</v>
      </c>
      <c r="W61" s="56"/>
      <c r="X61" s="56"/>
      <c r="Y61" s="56"/>
      <c r="Z61" s="56"/>
      <c r="AA61" s="57" t="s">
        <v>42</v>
      </c>
      <c r="AB61" s="57"/>
      <c r="AC61" s="57"/>
    </row>
    <row r="62" spans="1:29" s="1" customFormat="1" ht="13.5" customHeight="1">
      <c r="A62" s="55" t="s">
        <v>11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s="1" customFormat="1" ht="13.5" customHeight="1">
      <c r="A63" s="42" t="s">
        <v>121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29" s="1" customFormat="1" ht="34.5" customHeight="1">
      <c r="A64" s="43" t="s">
        <v>23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 t="s">
        <v>24</v>
      </c>
      <c r="M64" s="43"/>
      <c r="N64" s="43"/>
      <c r="O64" s="43" t="s">
        <v>122</v>
      </c>
      <c r="P64" s="43"/>
      <c r="Q64" s="43"/>
      <c r="R64" s="44" t="s">
        <v>123</v>
      </c>
      <c r="S64" s="44"/>
      <c r="T64" s="44" t="s">
        <v>26</v>
      </c>
      <c r="U64" s="44"/>
      <c r="V64" s="44"/>
      <c r="W64" s="44" t="s">
        <v>27</v>
      </c>
      <c r="X64" s="44"/>
      <c r="Y64" s="44"/>
      <c r="Z64" s="44"/>
      <c r="AA64" s="44"/>
      <c r="AB64" s="45" t="s">
        <v>28</v>
      </c>
      <c r="AC64" s="45"/>
    </row>
    <row r="65" spans="1:29" s="1" customFormat="1" ht="13.5" customHeight="1">
      <c r="A65" s="39" t="s">
        <v>29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 t="s">
        <v>30</v>
      </c>
      <c r="M65" s="39"/>
      <c r="N65" s="39"/>
      <c r="O65" s="39" t="s">
        <v>31</v>
      </c>
      <c r="P65" s="39"/>
      <c r="Q65" s="39"/>
      <c r="R65" s="40" t="s">
        <v>32</v>
      </c>
      <c r="S65" s="40"/>
      <c r="T65" s="40" t="s">
        <v>33</v>
      </c>
      <c r="U65" s="40"/>
      <c r="V65" s="40"/>
      <c r="W65" s="40" t="s">
        <v>34</v>
      </c>
      <c r="X65" s="40"/>
      <c r="Y65" s="40"/>
      <c r="Z65" s="40"/>
      <c r="AA65" s="40"/>
      <c r="AB65" s="41" t="s">
        <v>124</v>
      </c>
      <c r="AC65" s="41"/>
    </row>
    <row r="66" spans="1:29" s="1" customFormat="1" ht="13.5" customHeight="1">
      <c r="A66" s="34" t="s">
        <v>125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5" t="s">
        <v>126</v>
      </c>
      <c r="M66" s="35"/>
      <c r="N66" s="35"/>
      <c r="O66" s="35" t="s">
        <v>37</v>
      </c>
      <c r="P66" s="35"/>
      <c r="Q66" s="35"/>
      <c r="R66" s="53" t="s">
        <v>37</v>
      </c>
      <c r="S66" s="53"/>
      <c r="T66" s="37">
        <f>81514205.68</f>
        <v>81514205.68</v>
      </c>
      <c r="U66" s="37"/>
      <c r="V66" s="37"/>
      <c r="W66" s="37">
        <f>72056628.49</f>
        <v>72056628.49</v>
      </c>
      <c r="X66" s="37"/>
      <c r="Y66" s="37"/>
      <c r="Z66" s="37"/>
      <c r="AA66" s="37"/>
      <c r="AB66" s="54">
        <f>9457577.19</f>
        <v>9457577.19</v>
      </c>
      <c r="AC66" s="54"/>
    </row>
    <row r="67" spans="1:29" s="1" customFormat="1" ht="13.5" customHeight="1">
      <c r="A67" s="14" t="s">
        <v>127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126</v>
      </c>
      <c r="M67" s="15"/>
      <c r="N67" s="15"/>
      <c r="O67" s="15" t="s">
        <v>128</v>
      </c>
      <c r="P67" s="15"/>
      <c r="Q67" s="15"/>
      <c r="R67" s="52" t="s">
        <v>129</v>
      </c>
      <c r="S67" s="52"/>
      <c r="T67" s="17">
        <f>1533978</f>
        <v>1533978</v>
      </c>
      <c r="U67" s="17"/>
      <c r="V67" s="17"/>
      <c r="W67" s="17">
        <f>1327946.39</f>
        <v>1327946.39</v>
      </c>
      <c r="X67" s="17"/>
      <c r="Y67" s="17"/>
      <c r="Z67" s="17"/>
      <c r="AA67" s="17"/>
      <c r="AB67" s="46">
        <f>206031.61</f>
        <v>206031.61</v>
      </c>
      <c r="AC67" s="46"/>
    </row>
    <row r="68" spans="1:29" s="1" customFormat="1" ht="13.5" customHeight="1">
      <c r="A68" s="14" t="s">
        <v>130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126</v>
      </c>
      <c r="M68" s="15"/>
      <c r="N68" s="15"/>
      <c r="O68" s="15" t="s">
        <v>131</v>
      </c>
      <c r="P68" s="15"/>
      <c r="Q68" s="15"/>
      <c r="R68" s="52" t="s">
        <v>132</v>
      </c>
      <c r="S68" s="52"/>
      <c r="T68" s="17">
        <f>92000</f>
        <v>92000</v>
      </c>
      <c r="U68" s="17"/>
      <c r="V68" s="17"/>
      <c r="W68" s="17">
        <f>92000</f>
        <v>92000</v>
      </c>
      <c r="X68" s="17"/>
      <c r="Y68" s="17"/>
      <c r="Z68" s="17"/>
      <c r="AA68" s="17"/>
      <c r="AB68" s="46">
        <f>0</f>
        <v>0</v>
      </c>
      <c r="AC68" s="46"/>
    </row>
    <row r="69" spans="1:29" s="1" customFormat="1" ht="13.5" customHeight="1">
      <c r="A69" s="14" t="s">
        <v>133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126</v>
      </c>
      <c r="M69" s="15"/>
      <c r="N69" s="15"/>
      <c r="O69" s="15" t="s">
        <v>134</v>
      </c>
      <c r="P69" s="15"/>
      <c r="Q69" s="15"/>
      <c r="R69" s="52" t="s">
        <v>135</v>
      </c>
      <c r="S69" s="52"/>
      <c r="T69" s="17">
        <f>463261.4</f>
        <v>463261.4</v>
      </c>
      <c r="U69" s="17"/>
      <c r="V69" s="17"/>
      <c r="W69" s="17">
        <f>401764.47</f>
        <v>401764.47</v>
      </c>
      <c r="X69" s="17"/>
      <c r="Y69" s="17"/>
      <c r="Z69" s="17"/>
      <c r="AA69" s="17"/>
      <c r="AB69" s="46">
        <f>61496.93</f>
        <v>61496.93</v>
      </c>
      <c r="AC69" s="46"/>
    </row>
    <row r="70" spans="1:29" s="1" customFormat="1" ht="13.5" customHeight="1">
      <c r="A70" s="14" t="s">
        <v>127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126</v>
      </c>
      <c r="M70" s="15"/>
      <c r="N70" s="15"/>
      <c r="O70" s="15" t="s">
        <v>136</v>
      </c>
      <c r="P70" s="15"/>
      <c r="Q70" s="15"/>
      <c r="R70" s="52" t="s">
        <v>129</v>
      </c>
      <c r="S70" s="52"/>
      <c r="T70" s="17">
        <f>9984.64</f>
        <v>9984.64</v>
      </c>
      <c r="U70" s="17"/>
      <c r="V70" s="17"/>
      <c r="W70" s="17">
        <f>9984.64</f>
        <v>9984.64</v>
      </c>
      <c r="X70" s="17"/>
      <c r="Y70" s="17"/>
      <c r="Z70" s="17"/>
      <c r="AA70" s="17"/>
      <c r="AB70" s="46">
        <f>0</f>
        <v>0</v>
      </c>
      <c r="AC70" s="46"/>
    </row>
    <row r="71" spans="1:29" s="1" customFormat="1" ht="13.5" customHeight="1">
      <c r="A71" s="14" t="s">
        <v>133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126</v>
      </c>
      <c r="M71" s="15"/>
      <c r="N71" s="15"/>
      <c r="O71" s="15" t="s">
        <v>137</v>
      </c>
      <c r="P71" s="15"/>
      <c r="Q71" s="15"/>
      <c r="R71" s="52" t="s">
        <v>135</v>
      </c>
      <c r="S71" s="52"/>
      <c r="T71" s="17">
        <f>3015.36</f>
        <v>3015.36</v>
      </c>
      <c r="U71" s="17"/>
      <c r="V71" s="17"/>
      <c r="W71" s="17">
        <f>3015.36</f>
        <v>3015.36</v>
      </c>
      <c r="X71" s="17"/>
      <c r="Y71" s="17"/>
      <c r="Z71" s="17"/>
      <c r="AA71" s="17"/>
      <c r="AB71" s="46">
        <f>0</f>
        <v>0</v>
      </c>
      <c r="AC71" s="46"/>
    </row>
    <row r="72" spans="1:29" s="1" customFormat="1" ht="13.5" customHeight="1">
      <c r="A72" s="14" t="s">
        <v>127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126</v>
      </c>
      <c r="M72" s="15"/>
      <c r="N72" s="15"/>
      <c r="O72" s="15" t="s">
        <v>138</v>
      </c>
      <c r="P72" s="15"/>
      <c r="Q72" s="15"/>
      <c r="R72" s="52" t="s">
        <v>129</v>
      </c>
      <c r="S72" s="52"/>
      <c r="T72" s="17">
        <f>5130621</f>
        <v>5130621</v>
      </c>
      <c r="U72" s="17"/>
      <c r="V72" s="17"/>
      <c r="W72" s="17">
        <f>4339884.06</f>
        <v>4339884.06</v>
      </c>
      <c r="X72" s="17"/>
      <c r="Y72" s="17"/>
      <c r="Z72" s="17"/>
      <c r="AA72" s="17"/>
      <c r="AB72" s="46">
        <f>790736.94</f>
        <v>790736.94</v>
      </c>
      <c r="AC72" s="46"/>
    </row>
    <row r="73" spans="1:29" s="1" customFormat="1" ht="13.5" customHeight="1">
      <c r="A73" s="14" t="s">
        <v>139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126</v>
      </c>
      <c r="M73" s="15"/>
      <c r="N73" s="15"/>
      <c r="O73" s="15" t="s">
        <v>138</v>
      </c>
      <c r="P73" s="15"/>
      <c r="Q73" s="15"/>
      <c r="R73" s="52" t="s">
        <v>140</v>
      </c>
      <c r="S73" s="52"/>
      <c r="T73" s="17">
        <f>45000</f>
        <v>45000</v>
      </c>
      <c r="U73" s="17"/>
      <c r="V73" s="17"/>
      <c r="W73" s="17">
        <f>18046.23</f>
        <v>18046.23</v>
      </c>
      <c r="X73" s="17"/>
      <c r="Y73" s="17"/>
      <c r="Z73" s="17"/>
      <c r="AA73" s="17"/>
      <c r="AB73" s="46">
        <f>26953.77</f>
        <v>26953.77</v>
      </c>
      <c r="AC73" s="46"/>
    </row>
    <row r="74" spans="1:29" s="1" customFormat="1" ht="13.5" customHeight="1">
      <c r="A74" s="14" t="s">
        <v>130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126</v>
      </c>
      <c r="M74" s="15"/>
      <c r="N74" s="15"/>
      <c r="O74" s="15" t="s">
        <v>141</v>
      </c>
      <c r="P74" s="15"/>
      <c r="Q74" s="15"/>
      <c r="R74" s="52" t="s">
        <v>132</v>
      </c>
      <c r="S74" s="52"/>
      <c r="T74" s="17">
        <f>450000</f>
        <v>450000</v>
      </c>
      <c r="U74" s="17"/>
      <c r="V74" s="17"/>
      <c r="W74" s="17">
        <f>415246</f>
        <v>415246</v>
      </c>
      <c r="X74" s="17"/>
      <c r="Y74" s="17"/>
      <c r="Z74" s="17"/>
      <c r="AA74" s="17"/>
      <c r="AB74" s="46">
        <f>34754</f>
        <v>34754</v>
      </c>
      <c r="AC74" s="46"/>
    </row>
    <row r="75" spans="1:29" s="1" customFormat="1" ht="13.5" customHeight="1">
      <c r="A75" s="14" t="s">
        <v>142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126</v>
      </c>
      <c r="M75" s="15"/>
      <c r="N75" s="15"/>
      <c r="O75" s="15" t="s">
        <v>141</v>
      </c>
      <c r="P75" s="15"/>
      <c r="Q75" s="15"/>
      <c r="R75" s="52" t="s">
        <v>143</v>
      </c>
      <c r="S75" s="52"/>
      <c r="T75" s="17">
        <f>274834.56</f>
        <v>274834.56</v>
      </c>
      <c r="U75" s="17"/>
      <c r="V75" s="17"/>
      <c r="W75" s="17">
        <f>150570.21</f>
        <v>150570.21</v>
      </c>
      <c r="X75" s="17"/>
      <c r="Y75" s="17"/>
      <c r="Z75" s="17"/>
      <c r="AA75" s="17"/>
      <c r="AB75" s="46">
        <f>124264.35</f>
        <v>124264.35</v>
      </c>
      <c r="AC75" s="46"/>
    </row>
    <row r="76" spans="1:29" s="1" customFormat="1" ht="13.5" customHeight="1">
      <c r="A76" s="14" t="s">
        <v>133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126</v>
      </c>
      <c r="M76" s="15"/>
      <c r="N76" s="15"/>
      <c r="O76" s="15" t="s">
        <v>144</v>
      </c>
      <c r="P76" s="15"/>
      <c r="Q76" s="15"/>
      <c r="R76" s="52" t="s">
        <v>135</v>
      </c>
      <c r="S76" s="52"/>
      <c r="T76" s="17">
        <f>1549447.6</f>
        <v>1549447.6</v>
      </c>
      <c r="U76" s="17"/>
      <c r="V76" s="17"/>
      <c r="W76" s="17">
        <f>1380902.58</f>
        <v>1380902.58</v>
      </c>
      <c r="X76" s="17"/>
      <c r="Y76" s="17"/>
      <c r="Z76" s="17"/>
      <c r="AA76" s="17"/>
      <c r="AB76" s="46">
        <f>168545.02</f>
        <v>168545.02</v>
      </c>
      <c r="AC76" s="46"/>
    </row>
    <row r="77" spans="1:29" s="1" customFormat="1" ht="13.5" customHeight="1">
      <c r="A77" s="14" t="s">
        <v>127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126</v>
      </c>
      <c r="M77" s="15"/>
      <c r="N77" s="15"/>
      <c r="O77" s="15" t="s">
        <v>145</v>
      </c>
      <c r="P77" s="15"/>
      <c r="Q77" s="15"/>
      <c r="R77" s="52" t="s">
        <v>129</v>
      </c>
      <c r="S77" s="52"/>
      <c r="T77" s="17">
        <f>59907.84</f>
        <v>59907.84</v>
      </c>
      <c r="U77" s="17"/>
      <c r="V77" s="17"/>
      <c r="W77" s="17">
        <f>59907.84</f>
        <v>59907.84</v>
      </c>
      <c r="X77" s="17"/>
      <c r="Y77" s="17"/>
      <c r="Z77" s="17"/>
      <c r="AA77" s="17"/>
      <c r="AB77" s="46">
        <f>0</f>
        <v>0</v>
      </c>
      <c r="AC77" s="46"/>
    </row>
    <row r="78" spans="1:29" s="1" customFormat="1" ht="13.5" customHeight="1">
      <c r="A78" s="14" t="s">
        <v>133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126</v>
      </c>
      <c r="M78" s="15"/>
      <c r="N78" s="15"/>
      <c r="O78" s="15" t="s">
        <v>146</v>
      </c>
      <c r="P78" s="15"/>
      <c r="Q78" s="15"/>
      <c r="R78" s="52" t="s">
        <v>135</v>
      </c>
      <c r="S78" s="52"/>
      <c r="T78" s="17">
        <f>18092.16</f>
        <v>18092.16</v>
      </c>
      <c r="U78" s="17"/>
      <c r="V78" s="17"/>
      <c r="W78" s="17">
        <f>18092.16</f>
        <v>18092.16</v>
      </c>
      <c r="X78" s="17"/>
      <c r="Y78" s="17"/>
      <c r="Z78" s="17"/>
      <c r="AA78" s="17"/>
      <c r="AB78" s="46">
        <f>0</f>
        <v>0</v>
      </c>
      <c r="AC78" s="46"/>
    </row>
    <row r="79" spans="1:29" s="1" customFormat="1" ht="13.5" customHeight="1">
      <c r="A79" s="14" t="s">
        <v>127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126</v>
      </c>
      <c r="M79" s="15"/>
      <c r="N79" s="15"/>
      <c r="O79" s="15" t="s">
        <v>147</v>
      </c>
      <c r="P79" s="15"/>
      <c r="Q79" s="15"/>
      <c r="R79" s="52" t="s">
        <v>129</v>
      </c>
      <c r="S79" s="52"/>
      <c r="T79" s="17">
        <f>20840.67</f>
        <v>20840.67</v>
      </c>
      <c r="U79" s="17"/>
      <c r="V79" s="17"/>
      <c r="W79" s="17">
        <f>13432.76</f>
        <v>13432.76</v>
      </c>
      <c r="X79" s="17"/>
      <c r="Y79" s="17"/>
      <c r="Z79" s="17"/>
      <c r="AA79" s="17"/>
      <c r="AB79" s="46">
        <f>7407.91</f>
        <v>7407.91</v>
      </c>
      <c r="AC79" s="46"/>
    </row>
    <row r="80" spans="1:29" s="1" customFormat="1" ht="13.5" customHeight="1">
      <c r="A80" s="14" t="s">
        <v>133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126</v>
      </c>
      <c r="M80" s="15"/>
      <c r="N80" s="15"/>
      <c r="O80" s="15" t="s">
        <v>148</v>
      </c>
      <c r="P80" s="15"/>
      <c r="Q80" s="15"/>
      <c r="R80" s="52" t="s">
        <v>135</v>
      </c>
      <c r="S80" s="52"/>
      <c r="T80" s="17">
        <f>6293.89</f>
        <v>6293.89</v>
      </c>
      <c r="U80" s="17"/>
      <c r="V80" s="17"/>
      <c r="W80" s="17">
        <f>4056.69</f>
        <v>4056.69</v>
      </c>
      <c r="X80" s="17"/>
      <c r="Y80" s="17"/>
      <c r="Z80" s="17"/>
      <c r="AA80" s="17"/>
      <c r="AB80" s="46">
        <f>2237.2</f>
        <v>2237.2</v>
      </c>
      <c r="AC80" s="46"/>
    </row>
    <row r="81" spans="1:29" s="1" customFormat="1" ht="13.5" customHeight="1">
      <c r="A81" s="14" t="s">
        <v>149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126</v>
      </c>
      <c r="M81" s="15"/>
      <c r="N81" s="15"/>
      <c r="O81" s="15" t="s">
        <v>150</v>
      </c>
      <c r="P81" s="15"/>
      <c r="Q81" s="15"/>
      <c r="R81" s="52" t="s">
        <v>126</v>
      </c>
      <c r="S81" s="52"/>
      <c r="T81" s="17">
        <f>50000</f>
        <v>50000</v>
      </c>
      <c r="U81" s="17"/>
      <c r="V81" s="17"/>
      <c r="W81" s="21" t="s">
        <v>42</v>
      </c>
      <c r="X81" s="21"/>
      <c r="Y81" s="21"/>
      <c r="Z81" s="21"/>
      <c r="AA81" s="21"/>
      <c r="AB81" s="46">
        <f>50000</f>
        <v>50000</v>
      </c>
      <c r="AC81" s="46"/>
    </row>
    <row r="82" spans="1:29" s="1" customFormat="1" ht="13.5" customHeight="1">
      <c r="A82" s="14" t="s">
        <v>151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126</v>
      </c>
      <c r="M82" s="15"/>
      <c r="N82" s="15"/>
      <c r="O82" s="15" t="s">
        <v>152</v>
      </c>
      <c r="P82" s="15"/>
      <c r="Q82" s="15"/>
      <c r="R82" s="52" t="s">
        <v>153</v>
      </c>
      <c r="S82" s="52"/>
      <c r="T82" s="17">
        <f>12000</f>
        <v>12000</v>
      </c>
      <c r="U82" s="17"/>
      <c r="V82" s="17"/>
      <c r="W82" s="17">
        <f>12000</f>
        <v>12000</v>
      </c>
      <c r="X82" s="17"/>
      <c r="Y82" s="17"/>
      <c r="Z82" s="17"/>
      <c r="AA82" s="17"/>
      <c r="AB82" s="46">
        <f>0</f>
        <v>0</v>
      </c>
      <c r="AC82" s="46"/>
    </row>
    <row r="83" spans="1:29" s="1" customFormat="1" ht="13.5" customHeight="1">
      <c r="A83" s="14" t="s">
        <v>127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126</v>
      </c>
      <c r="M83" s="15"/>
      <c r="N83" s="15"/>
      <c r="O83" s="15" t="s">
        <v>154</v>
      </c>
      <c r="P83" s="15"/>
      <c r="Q83" s="15"/>
      <c r="R83" s="52" t="s">
        <v>129</v>
      </c>
      <c r="S83" s="52"/>
      <c r="T83" s="17">
        <f>136450.41</f>
        <v>136450.41</v>
      </c>
      <c r="U83" s="17"/>
      <c r="V83" s="17"/>
      <c r="W83" s="17">
        <f>72498.92</f>
        <v>72498.92</v>
      </c>
      <c r="X83" s="17"/>
      <c r="Y83" s="17"/>
      <c r="Z83" s="17"/>
      <c r="AA83" s="17"/>
      <c r="AB83" s="46">
        <f>63951.49</f>
        <v>63951.49</v>
      </c>
      <c r="AC83" s="46"/>
    </row>
    <row r="84" spans="1:29" s="1" customFormat="1" ht="13.5" customHeight="1">
      <c r="A84" s="14" t="s">
        <v>133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126</v>
      </c>
      <c r="M84" s="15"/>
      <c r="N84" s="15"/>
      <c r="O84" s="15" t="s">
        <v>155</v>
      </c>
      <c r="P84" s="15"/>
      <c r="Q84" s="15"/>
      <c r="R84" s="52" t="s">
        <v>135</v>
      </c>
      <c r="S84" s="52"/>
      <c r="T84" s="17">
        <f>41208.03</f>
        <v>41208.03</v>
      </c>
      <c r="U84" s="17"/>
      <c r="V84" s="17"/>
      <c r="W84" s="17">
        <f>21749.66</f>
        <v>21749.66</v>
      </c>
      <c r="X84" s="17"/>
      <c r="Y84" s="17"/>
      <c r="Z84" s="17"/>
      <c r="AA84" s="17"/>
      <c r="AB84" s="46">
        <f>19458.37</f>
        <v>19458.37</v>
      </c>
      <c r="AC84" s="46"/>
    </row>
    <row r="85" spans="1:29" s="1" customFormat="1" ht="13.5" customHeight="1">
      <c r="A85" s="14" t="s">
        <v>127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126</v>
      </c>
      <c r="M85" s="15"/>
      <c r="N85" s="15"/>
      <c r="O85" s="15" t="s">
        <v>156</v>
      </c>
      <c r="P85" s="15"/>
      <c r="Q85" s="15"/>
      <c r="R85" s="52" t="s">
        <v>129</v>
      </c>
      <c r="S85" s="52"/>
      <c r="T85" s="17">
        <f>8237244</f>
        <v>8237244</v>
      </c>
      <c r="U85" s="17"/>
      <c r="V85" s="17"/>
      <c r="W85" s="17">
        <f>6687621.41</f>
        <v>6687621.41</v>
      </c>
      <c r="X85" s="17"/>
      <c r="Y85" s="17"/>
      <c r="Z85" s="17"/>
      <c r="AA85" s="17"/>
      <c r="AB85" s="46">
        <f>1549622.59</f>
        <v>1549622.59</v>
      </c>
      <c r="AC85" s="46"/>
    </row>
    <row r="86" spans="1:29" s="1" customFormat="1" ht="13.5" customHeight="1">
      <c r="A86" s="14" t="s">
        <v>139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126</v>
      </c>
      <c r="M86" s="15"/>
      <c r="N86" s="15"/>
      <c r="O86" s="15" t="s">
        <v>156</v>
      </c>
      <c r="P86" s="15"/>
      <c r="Q86" s="15"/>
      <c r="R86" s="52" t="s">
        <v>140</v>
      </c>
      <c r="S86" s="52"/>
      <c r="T86" s="17">
        <f>50000</f>
        <v>50000</v>
      </c>
      <c r="U86" s="17"/>
      <c r="V86" s="17"/>
      <c r="W86" s="17">
        <f>32221.11</f>
        <v>32221.11</v>
      </c>
      <c r="X86" s="17"/>
      <c r="Y86" s="17"/>
      <c r="Z86" s="17"/>
      <c r="AA86" s="17"/>
      <c r="AB86" s="46">
        <f>17778.89</f>
        <v>17778.89</v>
      </c>
      <c r="AC86" s="46"/>
    </row>
    <row r="87" spans="1:29" s="1" customFormat="1" ht="13.5" customHeight="1">
      <c r="A87" s="14" t="s">
        <v>142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126</v>
      </c>
      <c r="M87" s="15"/>
      <c r="N87" s="15"/>
      <c r="O87" s="15" t="s">
        <v>157</v>
      </c>
      <c r="P87" s="15"/>
      <c r="Q87" s="15"/>
      <c r="R87" s="52" t="s">
        <v>143</v>
      </c>
      <c r="S87" s="52"/>
      <c r="T87" s="17">
        <f>205000</f>
        <v>205000</v>
      </c>
      <c r="U87" s="17"/>
      <c r="V87" s="17"/>
      <c r="W87" s="17">
        <f>203113.96</f>
        <v>203113.96</v>
      </c>
      <c r="X87" s="17"/>
      <c r="Y87" s="17"/>
      <c r="Z87" s="17"/>
      <c r="AA87" s="17"/>
      <c r="AB87" s="46">
        <f>1886.04</f>
        <v>1886.04</v>
      </c>
      <c r="AC87" s="46"/>
    </row>
    <row r="88" spans="1:29" s="1" customFormat="1" ht="13.5" customHeight="1">
      <c r="A88" s="14" t="s">
        <v>133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126</v>
      </c>
      <c r="M88" s="15"/>
      <c r="N88" s="15"/>
      <c r="O88" s="15" t="s">
        <v>158</v>
      </c>
      <c r="P88" s="15"/>
      <c r="Q88" s="15"/>
      <c r="R88" s="52" t="s">
        <v>135</v>
      </c>
      <c r="S88" s="52"/>
      <c r="T88" s="17">
        <f>2383291</f>
        <v>2383291</v>
      </c>
      <c r="U88" s="17"/>
      <c r="V88" s="17"/>
      <c r="W88" s="17">
        <f>1885413.87</f>
        <v>1885413.87</v>
      </c>
      <c r="X88" s="17"/>
      <c r="Y88" s="17"/>
      <c r="Z88" s="17"/>
      <c r="AA88" s="17"/>
      <c r="AB88" s="46">
        <f>497877.13</f>
        <v>497877.13</v>
      </c>
      <c r="AC88" s="46"/>
    </row>
    <row r="89" spans="1:29" s="1" customFormat="1" ht="13.5" customHeight="1">
      <c r="A89" s="14" t="s">
        <v>159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126</v>
      </c>
      <c r="M89" s="15"/>
      <c r="N89" s="15"/>
      <c r="O89" s="15" t="s">
        <v>160</v>
      </c>
      <c r="P89" s="15"/>
      <c r="Q89" s="15"/>
      <c r="R89" s="52" t="s">
        <v>161</v>
      </c>
      <c r="S89" s="52"/>
      <c r="T89" s="17">
        <f>2250</f>
        <v>2250</v>
      </c>
      <c r="U89" s="17"/>
      <c r="V89" s="17"/>
      <c r="W89" s="17">
        <f>2250</f>
        <v>2250</v>
      </c>
      <c r="X89" s="17"/>
      <c r="Y89" s="17"/>
      <c r="Z89" s="17"/>
      <c r="AA89" s="17"/>
      <c r="AB89" s="46">
        <f>0</f>
        <v>0</v>
      </c>
      <c r="AC89" s="46"/>
    </row>
    <row r="90" spans="1:29" s="1" customFormat="1" ht="13.5" customHeight="1">
      <c r="A90" s="14" t="s">
        <v>159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126</v>
      </c>
      <c r="M90" s="15"/>
      <c r="N90" s="15"/>
      <c r="O90" s="15" t="s">
        <v>162</v>
      </c>
      <c r="P90" s="15"/>
      <c r="Q90" s="15"/>
      <c r="R90" s="52" t="s">
        <v>161</v>
      </c>
      <c r="S90" s="52"/>
      <c r="T90" s="17">
        <f>30000</f>
        <v>30000</v>
      </c>
      <c r="U90" s="17"/>
      <c r="V90" s="17"/>
      <c r="W90" s="17">
        <f>20000</f>
        <v>20000</v>
      </c>
      <c r="X90" s="17"/>
      <c r="Y90" s="17"/>
      <c r="Z90" s="17"/>
      <c r="AA90" s="17"/>
      <c r="AB90" s="46">
        <f>10000</f>
        <v>10000</v>
      </c>
      <c r="AC90" s="46"/>
    </row>
    <row r="91" spans="1:29" s="1" customFormat="1" ht="13.5" customHeight="1">
      <c r="A91" s="14" t="s">
        <v>163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126</v>
      </c>
      <c r="M91" s="15"/>
      <c r="N91" s="15"/>
      <c r="O91" s="15" t="s">
        <v>162</v>
      </c>
      <c r="P91" s="15"/>
      <c r="Q91" s="15"/>
      <c r="R91" s="52" t="s">
        <v>164</v>
      </c>
      <c r="S91" s="52"/>
      <c r="T91" s="17">
        <f>8100</f>
        <v>8100</v>
      </c>
      <c r="U91" s="17"/>
      <c r="V91" s="17"/>
      <c r="W91" s="21" t="s">
        <v>42</v>
      </c>
      <c r="X91" s="21"/>
      <c r="Y91" s="21"/>
      <c r="Z91" s="21"/>
      <c r="AA91" s="21"/>
      <c r="AB91" s="46">
        <f>8100</f>
        <v>8100</v>
      </c>
      <c r="AC91" s="46"/>
    </row>
    <row r="92" spans="1:29" s="1" customFormat="1" ht="13.5" customHeight="1">
      <c r="A92" s="14" t="s">
        <v>165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126</v>
      </c>
      <c r="M92" s="15"/>
      <c r="N92" s="15"/>
      <c r="O92" s="15" t="s">
        <v>162</v>
      </c>
      <c r="P92" s="15"/>
      <c r="Q92" s="15"/>
      <c r="R92" s="52" t="s">
        <v>166</v>
      </c>
      <c r="S92" s="52"/>
      <c r="T92" s="17">
        <f>47500</f>
        <v>47500</v>
      </c>
      <c r="U92" s="17"/>
      <c r="V92" s="17"/>
      <c r="W92" s="17">
        <f>15824.68</f>
        <v>15824.68</v>
      </c>
      <c r="X92" s="17"/>
      <c r="Y92" s="17"/>
      <c r="Z92" s="17"/>
      <c r="AA92" s="17"/>
      <c r="AB92" s="46">
        <f>31675.32</f>
        <v>31675.32</v>
      </c>
      <c r="AC92" s="46"/>
    </row>
    <row r="93" spans="1:29" s="1" customFormat="1" ht="13.5" customHeight="1">
      <c r="A93" s="14" t="s">
        <v>167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126</v>
      </c>
      <c r="M93" s="15"/>
      <c r="N93" s="15"/>
      <c r="O93" s="15" t="s">
        <v>162</v>
      </c>
      <c r="P93" s="15"/>
      <c r="Q93" s="15"/>
      <c r="R93" s="52" t="s">
        <v>168</v>
      </c>
      <c r="S93" s="52"/>
      <c r="T93" s="17">
        <f>430567</f>
        <v>430567</v>
      </c>
      <c r="U93" s="17"/>
      <c r="V93" s="17"/>
      <c r="W93" s="17">
        <f>339272</f>
        <v>339272</v>
      </c>
      <c r="X93" s="17"/>
      <c r="Y93" s="17"/>
      <c r="Z93" s="17"/>
      <c r="AA93" s="17"/>
      <c r="AB93" s="46">
        <f>91295</f>
        <v>91295</v>
      </c>
      <c r="AC93" s="46"/>
    </row>
    <row r="94" spans="1:29" s="1" customFormat="1" ht="13.5" customHeight="1">
      <c r="A94" s="14" t="s">
        <v>151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126</v>
      </c>
      <c r="M94" s="15"/>
      <c r="N94" s="15"/>
      <c r="O94" s="15" t="s">
        <v>162</v>
      </c>
      <c r="P94" s="15"/>
      <c r="Q94" s="15"/>
      <c r="R94" s="52" t="s">
        <v>153</v>
      </c>
      <c r="S94" s="52"/>
      <c r="T94" s="17">
        <f>1384700</f>
        <v>1384700</v>
      </c>
      <c r="U94" s="17"/>
      <c r="V94" s="17"/>
      <c r="W94" s="17">
        <f>1320100</f>
        <v>1320100</v>
      </c>
      <c r="X94" s="17"/>
      <c r="Y94" s="17"/>
      <c r="Z94" s="17"/>
      <c r="AA94" s="17"/>
      <c r="AB94" s="46">
        <f>64600</f>
        <v>64600</v>
      </c>
      <c r="AC94" s="46"/>
    </row>
    <row r="95" spans="1:29" s="1" customFormat="1" ht="13.5" customHeight="1">
      <c r="A95" s="14" t="s">
        <v>169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126</v>
      </c>
      <c r="M95" s="15"/>
      <c r="N95" s="15"/>
      <c r="O95" s="15" t="s">
        <v>162</v>
      </c>
      <c r="P95" s="15"/>
      <c r="Q95" s="15"/>
      <c r="R95" s="52" t="s">
        <v>170</v>
      </c>
      <c r="S95" s="52"/>
      <c r="T95" s="17">
        <f>48000</f>
        <v>48000</v>
      </c>
      <c r="U95" s="17"/>
      <c r="V95" s="17"/>
      <c r="W95" s="17">
        <f>7030.94</f>
        <v>7030.94</v>
      </c>
      <c r="X95" s="17"/>
      <c r="Y95" s="17"/>
      <c r="Z95" s="17"/>
      <c r="AA95" s="17"/>
      <c r="AB95" s="46">
        <f>40969.06</f>
        <v>40969.06</v>
      </c>
      <c r="AC95" s="46"/>
    </row>
    <row r="96" spans="1:29" s="1" customFormat="1" ht="13.5" customHeight="1">
      <c r="A96" s="14" t="s">
        <v>171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126</v>
      </c>
      <c r="M96" s="15"/>
      <c r="N96" s="15"/>
      <c r="O96" s="15" t="s">
        <v>162</v>
      </c>
      <c r="P96" s="15"/>
      <c r="Q96" s="15"/>
      <c r="R96" s="52" t="s">
        <v>172</v>
      </c>
      <c r="S96" s="52"/>
      <c r="T96" s="17">
        <f>230000</f>
        <v>230000</v>
      </c>
      <c r="U96" s="17"/>
      <c r="V96" s="17"/>
      <c r="W96" s="17">
        <f>119561.3</f>
        <v>119561.3</v>
      </c>
      <c r="X96" s="17"/>
      <c r="Y96" s="17"/>
      <c r="Z96" s="17"/>
      <c r="AA96" s="17"/>
      <c r="AB96" s="46">
        <f>110438.7</f>
        <v>110438.7</v>
      </c>
      <c r="AC96" s="46"/>
    </row>
    <row r="97" spans="1:29" s="1" customFormat="1" ht="13.5" customHeight="1">
      <c r="A97" s="14" t="s">
        <v>173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126</v>
      </c>
      <c r="M97" s="15"/>
      <c r="N97" s="15"/>
      <c r="O97" s="15" t="s">
        <v>162</v>
      </c>
      <c r="P97" s="15"/>
      <c r="Q97" s="15"/>
      <c r="R97" s="52" t="s">
        <v>174</v>
      </c>
      <c r="S97" s="52"/>
      <c r="T97" s="17">
        <f>750000</f>
        <v>750000</v>
      </c>
      <c r="U97" s="17"/>
      <c r="V97" s="17"/>
      <c r="W97" s="17">
        <f>415085</f>
        <v>415085</v>
      </c>
      <c r="X97" s="17"/>
      <c r="Y97" s="17"/>
      <c r="Z97" s="17"/>
      <c r="AA97" s="17"/>
      <c r="AB97" s="46">
        <f>334915</f>
        <v>334915</v>
      </c>
      <c r="AC97" s="46"/>
    </row>
    <row r="98" spans="1:29" s="1" customFormat="1" ht="13.5" customHeight="1">
      <c r="A98" s="14" t="s">
        <v>175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126</v>
      </c>
      <c r="M98" s="15"/>
      <c r="N98" s="15"/>
      <c r="O98" s="15" t="s">
        <v>162</v>
      </c>
      <c r="P98" s="15"/>
      <c r="Q98" s="15"/>
      <c r="R98" s="52" t="s">
        <v>176</v>
      </c>
      <c r="S98" s="52"/>
      <c r="T98" s="17">
        <f>89508.04</f>
        <v>89508.04</v>
      </c>
      <c r="U98" s="17"/>
      <c r="V98" s="17"/>
      <c r="W98" s="17">
        <f>77168.04</f>
        <v>77168.04</v>
      </c>
      <c r="X98" s="17"/>
      <c r="Y98" s="17"/>
      <c r="Z98" s="17"/>
      <c r="AA98" s="17"/>
      <c r="AB98" s="46">
        <f>12340</f>
        <v>12340</v>
      </c>
      <c r="AC98" s="46"/>
    </row>
    <row r="99" spans="1:29" s="1" customFormat="1" ht="13.5" customHeight="1">
      <c r="A99" s="14" t="s">
        <v>177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126</v>
      </c>
      <c r="M99" s="15"/>
      <c r="N99" s="15"/>
      <c r="O99" s="15" t="s">
        <v>162</v>
      </c>
      <c r="P99" s="15"/>
      <c r="Q99" s="15"/>
      <c r="R99" s="52" t="s">
        <v>178</v>
      </c>
      <c r="S99" s="52"/>
      <c r="T99" s="17">
        <f>893159.96</f>
        <v>893159.96</v>
      </c>
      <c r="U99" s="17"/>
      <c r="V99" s="17"/>
      <c r="W99" s="17">
        <f>653938.67</f>
        <v>653938.67</v>
      </c>
      <c r="X99" s="17"/>
      <c r="Y99" s="17"/>
      <c r="Z99" s="17"/>
      <c r="AA99" s="17"/>
      <c r="AB99" s="46">
        <f>239221.29</f>
        <v>239221.29</v>
      </c>
      <c r="AC99" s="46"/>
    </row>
    <row r="100" spans="1:29" s="1" customFormat="1" ht="24" customHeight="1">
      <c r="A100" s="14" t="s">
        <v>179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126</v>
      </c>
      <c r="M100" s="15"/>
      <c r="N100" s="15"/>
      <c r="O100" s="15" t="s">
        <v>162</v>
      </c>
      <c r="P100" s="15"/>
      <c r="Q100" s="15"/>
      <c r="R100" s="52" t="s">
        <v>180</v>
      </c>
      <c r="S100" s="52"/>
      <c r="T100" s="17">
        <f>40000</f>
        <v>40000</v>
      </c>
      <c r="U100" s="17"/>
      <c r="V100" s="17"/>
      <c r="W100" s="17">
        <f>31700</f>
        <v>31700</v>
      </c>
      <c r="X100" s="17"/>
      <c r="Y100" s="17"/>
      <c r="Z100" s="17"/>
      <c r="AA100" s="17"/>
      <c r="AB100" s="46">
        <f>8300</f>
        <v>8300</v>
      </c>
      <c r="AC100" s="46"/>
    </row>
    <row r="101" spans="1:29" s="1" customFormat="1" ht="13.5" customHeight="1">
      <c r="A101" s="14" t="s">
        <v>165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126</v>
      </c>
      <c r="M101" s="15"/>
      <c r="N101" s="15"/>
      <c r="O101" s="15" t="s">
        <v>181</v>
      </c>
      <c r="P101" s="15"/>
      <c r="Q101" s="15"/>
      <c r="R101" s="52" t="s">
        <v>166</v>
      </c>
      <c r="S101" s="52"/>
      <c r="T101" s="17">
        <f>712600</f>
        <v>712600</v>
      </c>
      <c r="U101" s="17"/>
      <c r="V101" s="17"/>
      <c r="W101" s="17">
        <f>592192.18</f>
        <v>592192.18</v>
      </c>
      <c r="X101" s="17"/>
      <c r="Y101" s="17"/>
      <c r="Z101" s="17"/>
      <c r="AA101" s="17"/>
      <c r="AB101" s="46">
        <f>120407.82</f>
        <v>120407.82</v>
      </c>
      <c r="AC101" s="46"/>
    </row>
    <row r="102" spans="1:29" s="1" customFormat="1" ht="13.5" customHeight="1">
      <c r="A102" s="14" t="s">
        <v>182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126</v>
      </c>
      <c r="M102" s="15"/>
      <c r="N102" s="15"/>
      <c r="O102" s="15" t="s">
        <v>183</v>
      </c>
      <c r="P102" s="15"/>
      <c r="Q102" s="15"/>
      <c r="R102" s="52" t="s">
        <v>184</v>
      </c>
      <c r="S102" s="52"/>
      <c r="T102" s="17">
        <f>40000</f>
        <v>40000</v>
      </c>
      <c r="U102" s="17"/>
      <c r="V102" s="17"/>
      <c r="W102" s="17">
        <f>37000</f>
        <v>37000</v>
      </c>
      <c r="X102" s="17"/>
      <c r="Y102" s="17"/>
      <c r="Z102" s="17"/>
      <c r="AA102" s="17"/>
      <c r="AB102" s="46">
        <f>3000</f>
        <v>3000</v>
      </c>
      <c r="AC102" s="46"/>
    </row>
    <row r="103" spans="1:29" s="1" customFormat="1" ht="13.5" customHeight="1">
      <c r="A103" s="14" t="s">
        <v>182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126</v>
      </c>
      <c r="M103" s="15"/>
      <c r="N103" s="15"/>
      <c r="O103" s="15" t="s">
        <v>185</v>
      </c>
      <c r="P103" s="15"/>
      <c r="Q103" s="15"/>
      <c r="R103" s="52" t="s">
        <v>184</v>
      </c>
      <c r="S103" s="52"/>
      <c r="T103" s="17">
        <f>30300</f>
        <v>30300</v>
      </c>
      <c r="U103" s="17"/>
      <c r="V103" s="17"/>
      <c r="W103" s="17">
        <f>30300</f>
        <v>30300</v>
      </c>
      <c r="X103" s="17"/>
      <c r="Y103" s="17"/>
      <c r="Z103" s="17"/>
      <c r="AA103" s="17"/>
      <c r="AB103" s="46">
        <f>0</f>
        <v>0</v>
      </c>
      <c r="AC103" s="46"/>
    </row>
    <row r="104" spans="1:29" s="1" customFormat="1" ht="13.5" customHeight="1">
      <c r="A104" s="14" t="s">
        <v>186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126</v>
      </c>
      <c r="M104" s="15"/>
      <c r="N104" s="15"/>
      <c r="O104" s="15" t="s">
        <v>187</v>
      </c>
      <c r="P104" s="15"/>
      <c r="Q104" s="15"/>
      <c r="R104" s="52" t="s">
        <v>188</v>
      </c>
      <c r="S104" s="52"/>
      <c r="T104" s="17">
        <f>1000</f>
        <v>1000</v>
      </c>
      <c r="U104" s="17"/>
      <c r="V104" s="17"/>
      <c r="W104" s="21" t="s">
        <v>42</v>
      </c>
      <c r="X104" s="21"/>
      <c r="Y104" s="21"/>
      <c r="Z104" s="21"/>
      <c r="AA104" s="21"/>
      <c r="AB104" s="46">
        <f>1000</f>
        <v>1000</v>
      </c>
      <c r="AC104" s="46"/>
    </row>
    <row r="105" spans="1:29" s="1" customFormat="1" ht="24" customHeight="1">
      <c r="A105" s="14" t="s">
        <v>189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126</v>
      </c>
      <c r="M105" s="15"/>
      <c r="N105" s="15"/>
      <c r="O105" s="15" t="s">
        <v>190</v>
      </c>
      <c r="P105" s="15"/>
      <c r="Q105" s="15"/>
      <c r="R105" s="52" t="s">
        <v>191</v>
      </c>
      <c r="S105" s="52"/>
      <c r="T105" s="17">
        <f>15000</f>
        <v>15000</v>
      </c>
      <c r="U105" s="17"/>
      <c r="V105" s="17"/>
      <c r="W105" s="17">
        <f>11131.4</f>
        <v>11131.4</v>
      </c>
      <c r="X105" s="17"/>
      <c r="Y105" s="17"/>
      <c r="Z105" s="17"/>
      <c r="AA105" s="17"/>
      <c r="AB105" s="46">
        <f>3868.6</f>
        <v>3868.6</v>
      </c>
      <c r="AC105" s="46"/>
    </row>
    <row r="106" spans="1:29" s="1" customFormat="1" ht="13.5" customHeight="1">
      <c r="A106" s="14" t="s">
        <v>192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126</v>
      </c>
      <c r="M106" s="15"/>
      <c r="N106" s="15"/>
      <c r="O106" s="15" t="s">
        <v>190</v>
      </c>
      <c r="P106" s="15"/>
      <c r="Q106" s="15"/>
      <c r="R106" s="52" t="s">
        <v>193</v>
      </c>
      <c r="S106" s="52"/>
      <c r="T106" s="17">
        <f>20000</f>
        <v>20000</v>
      </c>
      <c r="U106" s="17"/>
      <c r="V106" s="17"/>
      <c r="W106" s="17">
        <f>20000</f>
        <v>20000</v>
      </c>
      <c r="X106" s="17"/>
      <c r="Y106" s="17"/>
      <c r="Z106" s="17"/>
      <c r="AA106" s="17"/>
      <c r="AB106" s="46">
        <f>0</f>
        <v>0</v>
      </c>
      <c r="AC106" s="46"/>
    </row>
    <row r="107" spans="1:29" s="1" customFormat="1" ht="13.5" customHeight="1">
      <c r="A107" s="14" t="s">
        <v>194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126</v>
      </c>
      <c r="M107" s="15"/>
      <c r="N107" s="15"/>
      <c r="O107" s="15" t="s">
        <v>190</v>
      </c>
      <c r="P107" s="15"/>
      <c r="Q107" s="15"/>
      <c r="R107" s="52" t="s">
        <v>195</v>
      </c>
      <c r="S107" s="52"/>
      <c r="T107" s="17">
        <f>15000</f>
        <v>15000</v>
      </c>
      <c r="U107" s="17"/>
      <c r="V107" s="17"/>
      <c r="W107" s="17">
        <f>15000</f>
        <v>15000</v>
      </c>
      <c r="X107" s="17"/>
      <c r="Y107" s="17"/>
      <c r="Z107" s="17"/>
      <c r="AA107" s="17"/>
      <c r="AB107" s="46">
        <f>0</f>
        <v>0</v>
      </c>
      <c r="AC107" s="46"/>
    </row>
    <row r="108" spans="1:29" s="1" customFormat="1" ht="13.5" customHeight="1">
      <c r="A108" s="14" t="s">
        <v>151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126</v>
      </c>
      <c r="M108" s="15"/>
      <c r="N108" s="15"/>
      <c r="O108" s="15" t="s">
        <v>196</v>
      </c>
      <c r="P108" s="15"/>
      <c r="Q108" s="15"/>
      <c r="R108" s="52" t="s">
        <v>153</v>
      </c>
      <c r="S108" s="52"/>
      <c r="T108" s="17">
        <f>780000</f>
        <v>780000</v>
      </c>
      <c r="U108" s="17"/>
      <c r="V108" s="17"/>
      <c r="W108" s="17">
        <f>775000</f>
        <v>775000</v>
      </c>
      <c r="X108" s="17"/>
      <c r="Y108" s="17"/>
      <c r="Z108" s="17"/>
      <c r="AA108" s="17"/>
      <c r="AB108" s="46">
        <f>5000</f>
        <v>5000</v>
      </c>
      <c r="AC108" s="46"/>
    </row>
    <row r="109" spans="1:29" s="1" customFormat="1" ht="13.5" customHeight="1">
      <c r="A109" s="14" t="s">
        <v>186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126</v>
      </c>
      <c r="M109" s="15"/>
      <c r="N109" s="15"/>
      <c r="O109" s="15" t="s">
        <v>197</v>
      </c>
      <c r="P109" s="15"/>
      <c r="Q109" s="15"/>
      <c r="R109" s="52" t="s">
        <v>188</v>
      </c>
      <c r="S109" s="52"/>
      <c r="T109" s="17">
        <f>255000</f>
        <v>255000</v>
      </c>
      <c r="U109" s="17"/>
      <c r="V109" s="17"/>
      <c r="W109" s="17">
        <f>235000</f>
        <v>235000</v>
      </c>
      <c r="X109" s="17"/>
      <c r="Y109" s="17"/>
      <c r="Z109" s="17"/>
      <c r="AA109" s="17"/>
      <c r="AB109" s="46">
        <f>20000</f>
        <v>20000</v>
      </c>
      <c r="AC109" s="46"/>
    </row>
    <row r="110" spans="1:29" s="1" customFormat="1" ht="13.5" customHeight="1">
      <c r="A110" s="14" t="s">
        <v>186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126</v>
      </c>
      <c r="M110" s="15"/>
      <c r="N110" s="15"/>
      <c r="O110" s="15" t="s">
        <v>198</v>
      </c>
      <c r="P110" s="15"/>
      <c r="Q110" s="15"/>
      <c r="R110" s="52" t="s">
        <v>188</v>
      </c>
      <c r="S110" s="52"/>
      <c r="T110" s="17">
        <f>30000</f>
        <v>30000</v>
      </c>
      <c r="U110" s="17"/>
      <c r="V110" s="17"/>
      <c r="W110" s="17">
        <f>30000</f>
        <v>30000</v>
      </c>
      <c r="X110" s="17"/>
      <c r="Y110" s="17"/>
      <c r="Z110" s="17"/>
      <c r="AA110" s="17"/>
      <c r="AB110" s="46">
        <f>0</f>
        <v>0</v>
      </c>
      <c r="AC110" s="46"/>
    </row>
    <row r="111" spans="1:29" s="1" customFormat="1" ht="24" customHeight="1">
      <c r="A111" s="14" t="s">
        <v>189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126</v>
      </c>
      <c r="M111" s="15"/>
      <c r="N111" s="15"/>
      <c r="O111" s="15" t="s">
        <v>199</v>
      </c>
      <c r="P111" s="15"/>
      <c r="Q111" s="15"/>
      <c r="R111" s="52" t="s">
        <v>191</v>
      </c>
      <c r="S111" s="52"/>
      <c r="T111" s="17">
        <f>3000</f>
        <v>3000</v>
      </c>
      <c r="U111" s="17"/>
      <c r="V111" s="17"/>
      <c r="W111" s="17">
        <f>64.51</f>
        <v>64.51</v>
      </c>
      <c r="X111" s="17"/>
      <c r="Y111" s="17"/>
      <c r="Z111" s="17"/>
      <c r="AA111" s="17"/>
      <c r="AB111" s="46">
        <f>2935.49</f>
        <v>2935.49</v>
      </c>
      <c r="AC111" s="46"/>
    </row>
    <row r="112" spans="1:29" s="1" customFormat="1" ht="13.5" customHeight="1">
      <c r="A112" s="14" t="s">
        <v>127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126</v>
      </c>
      <c r="M112" s="15"/>
      <c r="N112" s="15"/>
      <c r="O112" s="15" t="s">
        <v>200</v>
      </c>
      <c r="P112" s="15"/>
      <c r="Q112" s="15"/>
      <c r="R112" s="52" t="s">
        <v>129</v>
      </c>
      <c r="S112" s="52"/>
      <c r="T112" s="17">
        <f>193193.16</f>
        <v>193193.16</v>
      </c>
      <c r="U112" s="17"/>
      <c r="V112" s="17"/>
      <c r="W112" s="17">
        <f>148862.1</f>
        <v>148862.1</v>
      </c>
      <c r="X112" s="17"/>
      <c r="Y112" s="17"/>
      <c r="Z112" s="17"/>
      <c r="AA112" s="17"/>
      <c r="AB112" s="46">
        <f>44331.06</f>
        <v>44331.06</v>
      </c>
      <c r="AC112" s="46"/>
    </row>
    <row r="113" spans="1:29" s="1" customFormat="1" ht="13.5" customHeight="1">
      <c r="A113" s="14" t="s">
        <v>133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126</v>
      </c>
      <c r="M113" s="15"/>
      <c r="N113" s="15"/>
      <c r="O113" s="15" t="s">
        <v>201</v>
      </c>
      <c r="P113" s="15"/>
      <c r="Q113" s="15"/>
      <c r="R113" s="52" t="s">
        <v>135</v>
      </c>
      <c r="S113" s="52"/>
      <c r="T113" s="17">
        <f>58344.34</f>
        <v>58344.34</v>
      </c>
      <c r="U113" s="17"/>
      <c r="V113" s="17"/>
      <c r="W113" s="17">
        <f>44956.33</f>
        <v>44956.33</v>
      </c>
      <c r="X113" s="17"/>
      <c r="Y113" s="17"/>
      <c r="Z113" s="17"/>
      <c r="AA113" s="17"/>
      <c r="AB113" s="46">
        <f>13388.01</f>
        <v>13388.01</v>
      </c>
      <c r="AC113" s="46"/>
    </row>
    <row r="114" spans="1:29" s="1" customFormat="1" ht="13.5" customHeight="1">
      <c r="A114" s="14" t="s">
        <v>127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126</v>
      </c>
      <c r="M114" s="15"/>
      <c r="N114" s="15"/>
      <c r="O114" s="15" t="s">
        <v>202</v>
      </c>
      <c r="P114" s="15"/>
      <c r="Q114" s="15"/>
      <c r="R114" s="52" t="s">
        <v>129</v>
      </c>
      <c r="S114" s="52"/>
      <c r="T114" s="17">
        <f>9984.64</f>
        <v>9984.64</v>
      </c>
      <c r="U114" s="17"/>
      <c r="V114" s="17"/>
      <c r="W114" s="17">
        <f>9984.64</f>
        <v>9984.64</v>
      </c>
      <c r="X114" s="17"/>
      <c r="Y114" s="17"/>
      <c r="Z114" s="17"/>
      <c r="AA114" s="17"/>
      <c r="AB114" s="46">
        <f>0</f>
        <v>0</v>
      </c>
      <c r="AC114" s="46"/>
    </row>
    <row r="115" spans="1:29" s="1" customFormat="1" ht="13.5" customHeight="1">
      <c r="A115" s="14" t="s">
        <v>133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126</v>
      </c>
      <c r="M115" s="15"/>
      <c r="N115" s="15"/>
      <c r="O115" s="15" t="s">
        <v>203</v>
      </c>
      <c r="P115" s="15"/>
      <c r="Q115" s="15"/>
      <c r="R115" s="52" t="s">
        <v>135</v>
      </c>
      <c r="S115" s="52"/>
      <c r="T115" s="17">
        <f>3015.36</f>
        <v>3015.36</v>
      </c>
      <c r="U115" s="17"/>
      <c r="V115" s="17"/>
      <c r="W115" s="17">
        <f>3015.36</f>
        <v>3015.36</v>
      </c>
      <c r="X115" s="17"/>
      <c r="Y115" s="17"/>
      <c r="Z115" s="17"/>
      <c r="AA115" s="17"/>
      <c r="AB115" s="46">
        <f>0</f>
        <v>0</v>
      </c>
      <c r="AC115" s="46"/>
    </row>
    <row r="116" spans="1:29" s="1" customFormat="1" ht="13.5" customHeight="1">
      <c r="A116" s="14" t="s">
        <v>167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126</v>
      </c>
      <c r="M116" s="15"/>
      <c r="N116" s="15"/>
      <c r="O116" s="15" t="s">
        <v>204</v>
      </c>
      <c r="P116" s="15"/>
      <c r="Q116" s="15"/>
      <c r="R116" s="52" t="s">
        <v>168</v>
      </c>
      <c r="S116" s="52"/>
      <c r="T116" s="17">
        <f>112000</f>
        <v>112000</v>
      </c>
      <c r="U116" s="17"/>
      <c r="V116" s="17"/>
      <c r="W116" s="17">
        <f>86095.28</f>
        <v>86095.28</v>
      </c>
      <c r="X116" s="17"/>
      <c r="Y116" s="17"/>
      <c r="Z116" s="17"/>
      <c r="AA116" s="17"/>
      <c r="AB116" s="46">
        <f>25904.72</f>
        <v>25904.72</v>
      </c>
      <c r="AC116" s="46"/>
    </row>
    <row r="117" spans="1:29" s="1" customFormat="1" ht="13.5" customHeight="1">
      <c r="A117" s="14" t="s">
        <v>171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126</v>
      </c>
      <c r="M117" s="15"/>
      <c r="N117" s="15"/>
      <c r="O117" s="15" t="s">
        <v>205</v>
      </c>
      <c r="P117" s="15"/>
      <c r="Q117" s="15"/>
      <c r="R117" s="52" t="s">
        <v>172</v>
      </c>
      <c r="S117" s="52"/>
      <c r="T117" s="17">
        <f>40000</f>
        <v>40000</v>
      </c>
      <c r="U117" s="17"/>
      <c r="V117" s="17"/>
      <c r="W117" s="21" t="s">
        <v>42</v>
      </c>
      <c r="X117" s="21"/>
      <c r="Y117" s="21"/>
      <c r="Z117" s="21"/>
      <c r="AA117" s="21"/>
      <c r="AB117" s="46">
        <f>40000</f>
        <v>40000</v>
      </c>
      <c r="AC117" s="46"/>
    </row>
    <row r="118" spans="1:29" s="1" customFormat="1" ht="13.5" customHeight="1">
      <c r="A118" s="14" t="s">
        <v>171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126</v>
      </c>
      <c r="M118" s="15"/>
      <c r="N118" s="15"/>
      <c r="O118" s="15" t="s">
        <v>206</v>
      </c>
      <c r="P118" s="15"/>
      <c r="Q118" s="15"/>
      <c r="R118" s="52" t="s">
        <v>172</v>
      </c>
      <c r="S118" s="52"/>
      <c r="T118" s="17">
        <f>31000</f>
        <v>31000</v>
      </c>
      <c r="U118" s="17"/>
      <c r="V118" s="17"/>
      <c r="W118" s="17">
        <f>18770</f>
        <v>18770</v>
      </c>
      <c r="X118" s="17"/>
      <c r="Y118" s="17"/>
      <c r="Z118" s="17"/>
      <c r="AA118" s="17"/>
      <c r="AB118" s="46">
        <f>12230</f>
        <v>12230</v>
      </c>
      <c r="AC118" s="46"/>
    </row>
    <row r="119" spans="1:29" s="1" customFormat="1" ht="13.5" customHeight="1">
      <c r="A119" s="14" t="s">
        <v>177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126</v>
      </c>
      <c r="M119" s="15"/>
      <c r="N119" s="15"/>
      <c r="O119" s="15" t="s">
        <v>206</v>
      </c>
      <c r="P119" s="15"/>
      <c r="Q119" s="15"/>
      <c r="R119" s="52" t="s">
        <v>178</v>
      </c>
      <c r="S119" s="52"/>
      <c r="T119" s="17">
        <f>29000</f>
        <v>29000</v>
      </c>
      <c r="U119" s="17"/>
      <c r="V119" s="17"/>
      <c r="W119" s="17">
        <f>2100</f>
        <v>2100</v>
      </c>
      <c r="X119" s="17"/>
      <c r="Y119" s="17"/>
      <c r="Z119" s="17"/>
      <c r="AA119" s="17"/>
      <c r="AB119" s="46">
        <f>26900</f>
        <v>26900</v>
      </c>
      <c r="AC119" s="46"/>
    </row>
    <row r="120" spans="1:29" s="1" customFormat="1" ht="13.5" customHeight="1">
      <c r="A120" s="14" t="s">
        <v>151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126</v>
      </c>
      <c r="M120" s="15"/>
      <c r="N120" s="15"/>
      <c r="O120" s="15" t="s">
        <v>207</v>
      </c>
      <c r="P120" s="15"/>
      <c r="Q120" s="15"/>
      <c r="R120" s="52" t="s">
        <v>153</v>
      </c>
      <c r="S120" s="52"/>
      <c r="T120" s="17">
        <f>5825.56</f>
        <v>5825.56</v>
      </c>
      <c r="U120" s="17"/>
      <c r="V120" s="17"/>
      <c r="W120" s="17">
        <f>5825.56</f>
        <v>5825.56</v>
      </c>
      <c r="X120" s="17"/>
      <c r="Y120" s="17"/>
      <c r="Z120" s="17"/>
      <c r="AA120" s="17"/>
      <c r="AB120" s="46">
        <f>0</f>
        <v>0</v>
      </c>
      <c r="AC120" s="46"/>
    </row>
    <row r="121" spans="1:29" s="1" customFormat="1" ht="13.5" customHeight="1">
      <c r="A121" s="14" t="s">
        <v>151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126</v>
      </c>
      <c r="M121" s="15"/>
      <c r="N121" s="15"/>
      <c r="O121" s="15" t="s">
        <v>208</v>
      </c>
      <c r="P121" s="15"/>
      <c r="Q121" s="15"/>
      <c r="R121" s="52" t="s">
        <v>153</v>
      </c>
      <c r="S121" s="52"/>
      <c r="T121" s="17">
        <f>5825.56</f>
        <v>5825.56</v>
      </c>
      <c r="U121" s="17"/>
      <c r="V121" s="17"/>
      <c r="W121" s="17">
        <f>5825.56</f>
        <v>5825.56</v>
      </c>
      <c r="X121" s="17"/>
      <c r="Y121" s="17"/>
      <c r="Z121" s="17"/>
      <c r="AA121" s="17"/>
      <c r="AB121" s="46">
        <f>0</f>
        <v>0</v>
      </c>
      <c r="AC121" s="46"/>
    </row>
    <row r="122" spans="1:29" s="1" customFormat="1" ht="13.5" customHeight="1">
      <c r="A122" s="14" t="s">
        <v>167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126</v>
      </c>
      <c r="M122" s="15"/>
      <c r="N122" s="15"/>
      <c r="O122" s="15" t="s">
        <v>209</v>
      </c>
      <c r="P122" s="15"/>
      <c r="Q122" s="15"/>
      <c r="R122" s="52" t="s">
        <v>168</v>
      </c>
      <c r="S122" s="52"/>
      <c r="T122" s="17">
        <f>337500</f>
        <v>337500</v>
      </c>
      <c r="U122" s="17"/>
      <c r="V122" s="17"/>
      <c r="W122" s="17">
        <f>270000</f>
        <v>270000</v>
      </c>
      <c r="X122" s="17"/>
      <c r="Y122" s="17"/>
      <c r="Z122" s="17"/>
      <c r="AA122" s="17"/>
      <c r="AB122" s="46">
        <f>67500</f>
        <v>67500</v>
      </c>
      <c r="AC122" s="46"/>
    </row>
    <row r="123" spans="1:29" s="1" customFormat="1" ht="13.5" customHeight="1">
      <c r="A123" s="14" t="s">
        <v>151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126</v>
      </c>
      <c r="M123" s="15"/>
      <c r="N123" s="15"/>
      <c r="O123" s="15" t="s">
        <v>210</v>
      </c>
      <c r="P123" s="15"/>
      <c r="Q123" s="15"/>
      <c r="R123" s="52" t="s">
        <v>153</v>
      </c>
      <c r="S123" s="52"/>
      <c r="T123" s="17">
        <f>32364.1</f>
        <v>32364.1</v>
      </c>
      <c r="U123" s="17"/>
      <c r="V123" s="17"/>
      <c r="W123" s="17">
        <f>32364.09</f>
        <v>32364.09</v>
      </c>
      <c r="X123" s="17"/>
      <c r="Y123" s="17"/>
      <c r="Z123" s="17"/>
      <c r="AA123" s="17"/>
      <c r="AB123" s="46">
        <f>0.01</f>
        <v>0.01</v>
      </c>
      <c r="AC123" s="46"/>
    </row>
    <row r="124" spans="1:29" s="1" customFormat="1" ht="13.5" customHeight="1">
      <c r="A124" s="14" t="s">
        <v>167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 t="s">
        <v>126</v>
      </c>
      <c r="M124" s="15"/>
      <c r="N124" s="15"/>
      <c r="O124" s="15" t="s">
        <v>211</v>
      </c>
      <c r="P124" s="15"/>
      <c r="Q124" s="15"/>
      <c r="R124" s="52" t="s">
        <v>168</v>
      </c>
      <c r="S124" s="52"/>
      <c r="T124" s="17">
        <f>6199562.68</f>
        <v>6199562.68</v>
      </c>
      <c r="U124" s="17"/>
      <c r="V124" s="17"/>
      <c r="W124" s="17">
        <f>6199562.68</f>
        <v>6199562.68</v>
      </c>
      <c r="X124" s="17"/>
      <c r="Y124" s="17"/>
      <c r="Z124" s="17"/>
      <c r="AA124" s="17"/>
      <c r="AB124" s="46">
        <f>0</f>
        <v>0</v>
      </c>
      <c r="AC124" s="46"/>
    </row>
    <row r="125" spans="1:29" s="1" customFormat="1" ht="13.5" customHeight="1">
      <c r="A125" s="14" t="s">
        <v>167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5" t="s">
        <v>126</v>
      </c>
      <c r="M125" s="15"/>
      <c r="N125" s="15"/>
      <c r="O125" s="15" t="s">
        <v>212</v>
      </c>
      <c r="P125" s="15"/>
      <c r="Q125" s="15"/>
      <c r="R125" s="52" t="s">
        <v>168</v>
      </c>
      <c r="S125" s="52"/>
      <c r="T125" s="17">
        <f>1902510.1</f>
        <v>1902510.1</v>
      </c>
      <c r="U125" s="17"/>
      <c r="V125" s="17"/>
      <c r="W125" s="17">
        <f>1365679.57</f>
        <v>1365679.57</v>
      </c>
      <c r="X125" s="17"/>
      <c r="Y125" s="17"/>
      <c r="Z125" s="17"/>
      <c r="AA125" s="17"/>
      <c r="AB125" s="46">
        <f>536830.53</f>
        <v>536830.53</v>
      </c>
      <c r="AC125" s="46"/>
    </row>
    <row r="126" spans="1:29" s="1" customFormat="1" ht="13.5" customHeight="1">
      <c r="A126" s="14" t="s">
        <v>159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5" t="s">
        <v>126</v>
      </c>
      <c r="M126" s="15"/>
      <c r="N126" s="15"/>
      <c r="O126" s="15" t="s">
        <v>213</v>
      </c>
      <c r="P126" s="15"/>
      <c r="Q126" s="15"/>
      <c r="R126" s="52" t="s">
        <v>161</v>
      </c>
      <c r="S126" s="52"/>
      <c r="T126" s="17">
        <f>291000</f>
        <v>291000</v>
      </c>
      <c r="U126" s="17"/>
      <c r="V126" s="17"/>
      <c r="W126" s="17">
        <f>259148.2</f>
        <v>259148.2</v>
      </c>
      <c r="X126" s="17"/>
      <c r="Y126" s="17"/>
      <c r="Z126" s="17"/>
      <c r="AA126" s="17"/>
      <c r="AB126" s="46">
        <f>31851.8</f>
        <v>31851.8</v>
      </c>
      <c r="AC126" s="46"/>
    </row>
    <row r="127" spans="1:29" s="1" customFormat="1" ht="13.5" customHeight="1">
      <c r="A127" s="14" t="s">
        <v>167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 t="s">
        <v>126</v>
      </c>
      <c r="M127" s="15"/>
      <c r="N127" s="15"/>
      <c r="O127" s="15" t="s">
        <v>213</v>
      </c>
      <c r="P127" s="15"/>
      <c r="Q127" s="15"/>
      <c r="R127" s="52" t="s">
        <v>168</v>
      </c>
      <c r="S127" s="52"/>
      <c r="T127" s="17">
        <f>200000</f>
        <v>200000</v>
      </c>
      <c r="U127" s="17"/>
      <c r="V127" s="17"/>
      <c r="W127" s="17">
        <f>148990</f>
        <v>148990</v>
      </c>
      <c r="X127" s="17"/>
      <c r="Y127" s="17"/>
      <c r="Z127" s="17"/>
      <c r="AA127" s="17"/>
      <c r="AB127" s="46">
        <f>51010</f>
        <v>51010</v>
      </c>
      <c r="AC127" s="46"/>
    </row>
    <row r="128" spans="1:29" s="1" customFormat="1" ht="13.5" customHeight="1">
      <c r="A128" s="14" t="s">
        <v>151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 t="s">
        <v>126</v>
      </c>
      <c r="M128" s="15"/>
      <c r="N128" s="15"/>
      <c r="O128" s="15" t="s">
        <v>213</v>
      </c>
      <c r="P128" s="15"/>
      <c r="Q128" s="15"/>
      <c r="R128" s="52" t="s">
        <v>153</v>
      </c>
      <c r="S128" s="52"/>
      <c r="T128" s="17">
        <f>860000</f>
        <v>860000</v>
      </c>
      <c r="U128" s="17"/>
      <c r="V128" s="17"/>
      <c r="W128" s="17">
        <f>711727.8</f>
        <v>711727.8</v>
      </c>
      <c r="X128" s="17"/>
      <c r="Y128" s="17"/>
      <c r="Z128" s="17"/>
      <c r="AA128" s="17"/>
      <c r="AB128" s="46">
        <f>148272.2</f>
        <v>148272.2</v>
      </c>
      <c r="AC128" s="46"/>
    </row>
    <row r="129" spans="1:29" s="1" customFormat="1" ht="13.5" customHeight="1">
      <c r="A129" s="14" t="s">
        <v>171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5" t="s">
        <v>126</v>
      </c>
      <c r="M129" s="15"/>
      <c r="N129" s="15"/>
      <c r="O129" s="15" t="s">
        <v>213</v>
      </c>
      <c r="P129" s="15"/>
      <c r="Q129" s="15"/>
      <c r="R129" s="52" t="s">
        <v>172</v>
      </c>
      <c r="S129" s="52"/>
      <c r="T129" s="17">
        <f>800000</f>
        <v>800000</v>
      </c>
      <c r="U129" s="17"/>
      <c r="V129" s="17"/>
      <c r="W129" s="17">
        <f>765431</f>
        <v>765431</v>
      </c>
      <c r="X129" s="17"/>
      <c r="Y129" s="17"/>
      <c r="Z129" s="17"/>
      <c r="AA129" s="17"/>
      <c r="AB129" s="46">
        <f>34569</f>
        <v>34569</v>
      </c>
      <c r="AC129" s="46"/>
    </row>
    <row r="130" spans="1:29" s="1" customFormat="1" ht="13.5" customHeight="1">
      <c r="A130" s="14" t="s">
        <v>177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5" t="s">
        <v>126</v>
      </c>
      <c r="M130" s="15"/>
      <c r="N130" s="15"/>
      <c r="O130" s="15" t="s">
        <v>213</v>
      </c>
      <c r="P130" s="15"/>
      <c r="Q130" s="15"/>
      <c r="R130" s="52" t="s">
        <v>178</v>
      </c>
      <c r="S130" s="52"/>
      <c r="T130" s="17">
        <f>150000</f>
        <v>150000</v>
      </c>
      <c r="U130" s="17"/>
      <c r="V130" s="17"/>
      <c r="W130" s="17">
        <f>100100</f>
        <v>100100</v>
      </c>
      <c r="X130" s="17"/>
      <c r="Y130" s="17"/>
      <c r="Z130" s="17"/>
      <c r="AA130" s="17"/>
      <c r="AB130" s="46">
        <f>49900</f>
        <v>49900</v>
      </c>
      <c r="AC130" s="46"/>
    </row>
    <row r="131" spans="1:29" s="1" customFormat="1" ht="13.5" customHeight="1">
      <c r="A131" s="14" t="s">
        <v>151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5" t="s">
        <v>126</v>
      </c>
      <c r="M131" s="15"/>
      <c r="N131" s="15"/>
      <c r="O131" s="15" t="s">
        <v>214</v>
      </c>
      <c r="P131" s="15"/>
      <c r="Q131" s="15"/>
      <c r="R131" s="52" t="s">
        <v>153</v>
      </c>
      <c r="S131" s="52"/>
      <c r="T131" s="17">
        <f>106800</f>
        <v>106800</v>
      </c>
      <c r="U131" s="17"/>
      <c r="V131" s="17"/>
      <c r="W131" s="17">
        <f>106800</f>
        <v>106800</v>
      </c>
      <c r="X131" s="17"/>
      <c r="Y131" s="17"/>
      <c r="Z131" s="17"/>
      <c r="AA131" s="17"/>
      <c r="AB131" s="46">
        <f>0</f>
        <v>0</v>
      </c>
      <c r="AC131" s="46"/>
    </row>
    <row r="132" spans="1:29" s="1" customFormat="1" ht="13.5" customHeight="1">
      <c r="A132" s="14" t="s">
        <v>167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5" t="s">
        <v>126</v>
      </c>
      <c r="M132" s="15"/>
      <c r="N132" s="15"/>
      <c r="O132" s="15" t="s">
        <v>215</v>
      </c>
      <c r="P132" s="15"/>
      <c r="Q132" s="15"/>
      <c r="R132" s="52" t="s">
        <v>168</v>
      </c>
      <c r="S132" s="52"/>
      <c r="T132" s="17">
        <f>220000</f>
        <v>220000</v>
      </c>
      <c r="U132" s="17"/>
      <c r="V132" s="17"/>
      <c r="W132" s="17">
        <f>171791.3</f>
        <v>171791.3</v>
      </c>
      <c r="X132" s="17"/>
      <c r="Y132" s="17"/>
      <c r="Z132" s="17"/>
      <c r="AA132" s="17"/>
      <c r="AB132" s="46">
        <f>48208.7</f>
        <v>48208.7</v>
      </c>
      <c r="AC132" s="46"/>
    </row>
    <row r="133" spans="1:29" s="1" customFormat="1" ht="13.5" customHeight="1">
      <c r="A133" s="14" t="s">
        <v>151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5" t="s">
        <v>126</v>
      </c>
      <c r="M133" s="15"/>
      <c r="N133" s="15"/>
      <c r="O133" s="15" t="s">
        <v>215</v>
      </c>
      <c r="P133" s="15"/>
      <c r="Q133" s="15"/>
      <c r="R133" s="52" t="s">
        <v>153</v>
      </c>
      <c r="S133" s="52"/>
      <c r="T133" s="17">
        <f>52000</f>
        <v>52000</v>
      </c>
      <c r="U133" s="17"/>
      <c r="V133" s="17"/>
      <c r="W133" s="17">
        <f>8000</f>
        <v>8000</v>
      </c>
      <c r="X133" s="17"/>
      <c r="Y133" s="17"/>
      <c r="Z133" s="17"/>
      <c r="AA133" s="17"/>
      <c r="AB133" s="46">
        <f>44000</f>
        <v>44000</v>
      </c>
      <c r="AC133" s="46"/>
    </row>
    <row r="134" spans="1:29" s="1" customFormat="1" ht="13.5" customHeight="1">
      <c r="A134" s="14" t="s">
        <v>165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5" t="s">
        <v>126</v>
      </c>
      <c r="M134" s="15"/>
      <c r="N134" s="15"/>
      <c r="O134" s="15" t="s">
        <v>216</v>
      </c>
      <c r="P134" s="15"/>
      <c r="Q134" s="15"/>
      <c r="R134" s="52" t="s">
        <v>166</v>
      </c>
      <c r="S134" s="52"/>
      <c r="T134" s="17">
        <f>250000</f>
        <v>250000</v>
      </c>
      <c r="U134" s="17"/>
      <c r="V134" s="17"/>
      <c r="W134" s="17">
        <f>85226.92</f>
        <v>85226.92</v>
      </c>
      <c r="X134" s="17"/>
      <c r="Y134" s="17"/>
      <c r="Z134" s="17"/>
      <c r="AA134" s="17"/>
      <c r="AB134" s="46">
        <f>164773.08</f>
        <v>164773.08</v>
      </c>
      <c r="AC134" s="46"/>
    </row>
    <row r="135" spans="1:29" s="1" customFormat="1" ht="13.5" customHeight="1">
      <c r="A135" s="14" t="s">
        <v>151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5" t="s">
        <v>126</v>
      </c>
      <c r="M135" s="15"/>
      <c r="N135" s="15"/>
      <c r="O135" s="15" t="s">
        <v>217</v>
      </c>
      <c r="P135" s="15"/>
      <c r="Q135" s="15"/>
      <c r="R135" s="52" t="s">
        <v>153</v>
      </c>
      <c r="S135" s="52"/>
      <c r="T135" s="17">
        <f>170000</f>
        <v>170000</v>
      </c>
      <c r="U135" s="17"/>
      <c r="V135" s="17"/>
      <c r="W135" s="17">
        <f>170000</f>
        <v>170000</v>
      </c>
      <c r="X135" s="17"/>
      <c r="Y135" s="17"/>
      <c r="Z135" s="17"/>
      <c r="AA135" s="17"/>
      <c r="AB135" s="46">
        <f aca="true" t="shared" si="0" ref="AB135:AB142">0</f>
        <v>0</v>
      </c>
      <c r="AC135" s="46"/>
    </row>
    <row r="136" spans="1:29" s="1" customFormat="1" ht="13.5" customHeight="1">
      <c r="A136" s="14" t="s">
        <v>171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5" t="s">
        <v>126</v>
      </c>
      <c r="M136" s="15"/>
      <c r="N136" s="15"/>
      <c r="O136" s="15" t="s">
        <v>218</v>
      </c>
      <c r="P136" s="15"/>
      <c r="Q136" s="15"/>
      <c r="R136" s="52" t="s">
        <v>172</v>
      </c>
      <c r="S136" s="52"/>
      <c r="T136" s="17">
        <f>154700</f>
        <v>154700</v>
      </c>
      <c r="U136" s="17"/>
      <c r="V136" s="17"/>
      <c r="W136" s="17">
        <f>154700</f>
        <v>154700</v>
      </c>
      <c r="X136" s="17"/>
      <c r="Y136" s="17"/>
      <c r="Z136" s="17"/>
      <c r="AA136" s="17"/>
      <c r="AB136" s="46">
        <f t="shared" si="0"/>
        <v>0</v>
      </c>
      <c r="AC136" s="46"/>
    </row>
    <row r="137" spans="1:29" s="1" customFormat="1" ht="13.5" customHeight="1">
      <c r="A137" s="14" t="s">
        <v>151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5" t="s">
        <v>126</v>
      </c>
      <c r="M137" s="15"/>
      <c r="N137" s="15"/>
      <c r="O137" s="15" t="s">
        <v>219</v>
      </c>
      <c r="P137" s="15"/>
      <c r="Q137" s="15"/>
      <c r="R137" s="52" t="s">
        <v>153</v>
      </c>
      <c r="S137" s="52"/>
      <c r="T137" s="17">
        <f>366151.95</f>
        <v>366151.95</v>
      </c>
      <c r="U137" s="17"/>
      <c r="V137" s="17"/>
      <c r="W137" s="17">
        <f>366151.95</f>
        <v>366151.95</v>
      </c>
      <c r="X137" s="17"/>
      <c r="Y137" s="17"/>
      <c r="Z137" s="17"/>
      <c r="AA137" s="17"/>
      <c r="AB137" s="46">
        <f t="shared" si="0"/>
        <v>0</v>
      </c>
      <c r="AC137" s="46"/>
    </row>
    <row r="138" spans="1:29" s="1" customFormat="1" ht="13.5" customHeight="1">
      <c r="A138" s="14" t="s">
        <v>171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5" t="s">
        <v>126</v>
      </c>
      <c r="M138" s="15"/>
      <c r="N138" s="15"/>
      <c r="O138" s="15" t="s">
        <v>219</v>
      </c>
      <c r="P138" s="15"/>
      <c r="Q138" s="15"/>
      <c r="R138" s="52" t="s">
        <v>172</v>
      </c>
      <c r="S138" s="52"/>
      <c r="T138" s="17">
        <f>1046450</f>
        <v>1046450</v>
      </c>
      <c r="U138" s="17"/>
      <c r="V138" s="17"/>
      <c r="W138" s="17">
        <f>1046450</f>
        <v>1046450</v>
      </c>
      <c r="X138" s="17"/>
      <c r="Y138" s="17"/>
      <c r="Z138" s="17"/>
      <c r="AA138" s="17"/>
      <c r="AB138" s="46">
        <f t="shared" si="0"/>
        <v>0</v>
      </c>
      <c r="AC138" s="46"/>
    </row>
    <row r="139" spans="1:29" s="1" customFormat="1" ht="13.5" customHeight="1">
      <c r="A139" s="14" t="s">
        <v>171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5" t="s">
        <v>126</v>
      </c>
      <c r="M139" s="15"/>
      <c r="N139" s="15"/>
      <c r="O139" s="15" t="s">
        <v>220</v>
      </c>
      <c r="P139" s="15"/>
      <c r="Q139" s="15"/>
      <c r="R139" s="52" t="s">
        <v>172</v>
      </c>
      <c r="S139" s="52"/>
      <c r="T139" s="17">
        <f>1142311.73</f>
        <v>1142311.73</v>
      </c>
      <c r="U139" s="17"/>
      <c r="V139" s="17"/>
      <c r="W139" s="17">
        <f>1142311.73</f>
        <v>1142311.73</v>
      </c>
      <c r="X139" s="17"/>
      <c r="Y139" s="17"/>
      <c r="Z139" s="17"/>
      <c r="AA139" s="17"/>
      <c r="AB139" s="46">
        <f t="shared" si="0"/>
        <v>0</v>
      </c>
      <c r="AC139" s="46"/>
    </row>
    <row r="140" spans="1:29" s="1" customFormat="1" ht="13.5" customHeight="1">
      <c r="A140" s="14" t="s">
        <v>171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5" t="s">
        <v>126</v>
      </c>
      <c r="M140" s="15"/>
      <c r="N140" s="15"/>
      <c r="O140" s="15" t="s">
        <v>221</v>
      </c>
      <c r="P140" s="15"/>
      <c r="Q140" s="15"/>
      <c r="R140" s="52" t="s">
        <v>172</v>
      </c>
      <c r="S140" s="52"/>
      <c r="T140" s="17">
        <f>670226.5</f>
        <v>670226.5</v>
      </c>
      <c r="U140" s="17"/>
      <c r="V140" s="17"/>
      <c r="W140" s="17">
        <f>670226.5</f>
        <v>670226.5</v>
      </c>
      <c r="X140" s="17"/>
      <c r="Y140" s="17"/>
      <c r="Z140" s="17"/>
      <c r="AA140" s="17"/>
      <c r="AB140" s="46">
        <f t="shared" si="0"/>
        <v>0</v>
      </c>
      <c r="AC140" s="46"/>
    </row>
    <row r="141" spans="1:29" s="1" customFormat="1" ht="13.5" customHeight="1">
      <c r="A141" s="14" t="s">
        <v>171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5" t="s">
        <v>126</v>
      </c>
      <c r="M141" s="15"/>
      <c r="N141" s="15"/>
      <c r="O141" s="15" t="s">
        <v>222</v>
      </c>
      <c r="P141" s="15"/>
      <c r="Q141" s="15"/>
      <c r="R141" s="52" t="s">
        <v>172</v>
      </c>
      <c r="S141" s="52"/>
      <c r="T141" s="17">
        <f>83159.05</f>
        <v>83159.05</v>
      </c>
      <c r="U141" s="17"/>
      <c r="V141" s="17"/>
      <c r="W141" s="17">
        <f>83159.05</f>
        <v>83159.05</v>
      </c>
      <c r="X141" s="17"/>
      <c r="Y141" s="17"/>
      <c r="Z141" s="17"/>
      <c r="AA141" s="17"/>
      <c r="AB141" s="46">
        <f t="shared" si="0"/>
        <v>0</v>
      </c>
      <c r="AC141" s="46"/>
    </row>
    <row r="142" spans="1:29" s="1" customFormat="1" ht="13.5" customHeight="1">
      <c r="A142" s="14" t="s">
        <v>177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5" t="s">
        <v>126</v>
      </c>
      <c r="M142" s="15"/>
      <c r="N142" s="15"/>
      <c r="O142" s="15" t="s">
        <v>222</v>
      </c>
      <c r="P142" s="15"/>
      <c r="Q142" s="15"/>
      <c r="R142" s="52" t="s">
        <v>178</v>
      </c>
      <c r="S142" s="52"/>
      <c r="T142" s="17">
        <f>4239</f>
        <v>4239</v>
      </c>
      <c r="U142" s="17"/>
      <c r="V142" s="17"/>
      <c r="W142" s="17">
        <f>4239</f>
        <v>4239</v>
      </c>
      <c r="X142" s="17"/>
      <c r="Y142" s="17"/>
      <c r="Z142" s="17"/>
      <c r="AA142" s="17"/>
      <c r="AB142" s="46">
        <f t="shared" si="0"/>
        <v>0</v>
      </c>
      <c r="AC142" s="46"/>
    </row>
    <row r="143" spans="1:29" s="1" customFormat="1" ht="13.5" customHeight="1">
      <c r="A143" s="14" t="s">
        <v>167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5" t="s">
        <v>126</v>
      </c>
      <c r="M143" s="15"/>
      <c r="N143" s="15"/>
      <c r="O143" s="15" t="s">
        <v>223</v>
      </c>
      <c r="P143" s="15"/>
      <c r="Q143" s="15"/>
      <c r="R143" s="52" t="s">
        <v>168</v>
      </c>
      <c r="S143" s="52"/>
      <c r="T143" s="17">
        <f>645373.66</f>
        <v>645373.66</v>
      </c>
      <c r="U143" s="17"/>
      <c r="V143" s="17"/>
      <c r="W143" s="17">
        <f>498071.46</f>
        <v>498071.46</v>
      </c>
      <c r="X143" s="17"/>
      <c r="Y143" s="17"/>
      <c r="Z143" s="17"/>
      <c r="AA143" s="17"/>
      <c r="AB143" s="46">
        <f>147302.2</f>
        <v>147302.2</v>
      </c>
      <c r="AC143" s="46"/>
    </row>
    <row r="144" spans="1:29" s="1" customFormat="1" ht="13.5" customHeight="1">
      <c r="A144" s="14" t="s">
        <v>151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5" t="s">
        <v>126</v>
      </c>
      <c r="M144" s="15"/>
      <c r="N144" s="15"/>
      <c r="O144" s="15" t="s">
        <v>223</v>
      </c>
      <c r="P144" s="15"/>
      <c r="Q144" s="15"/>
      <c r="R144" s="52" t="s">
        <v>153</v>
      </c>
      <c r="S144" s="52"/>
      <c r="T144" s="17">
        <f>5205944.94</f>
        <v>5205944.94</v>
      </c>
      <c r="U144" s="17"/>
      <c r="V144" s="17"/>
      <c r="W144" s="17">
        <f>4342209.55</f>
        <v>4342209.55</v>
      </c>
      <c r="X144" s="17"/>
      <c r="Y144" s="17"/>
      <c r="Z144" s="17"/>
      <c r="AA144" s="17"/>
      <c r="AB144" s="46">
        <f>863735.39</f>
        <v>863735.39</v>
      </c>
      <c r="AC144" s="46"/>
    </row>
    <row r="145" spans="1:29" s="1" customFormat="1" ht="13.5" customHeight="1">
      <c r="A145" s="14" t="s">
        <v>224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5" t="s">
        <v>126</v>
      </c>
      <c r="M145" s="15"/>
      <c r="N145" s="15"/>
      <c r="O145" s="15" t="s">
        <v>223</v>
      </c>
      <c r="P145" s="15"/>
      <c r="Q145" s="15"/>
      <c r="R145" s="52" t="s">
        <v>225</v>
      </c>
      <c r="S145" s="52"/>
      <c r="T145" s="17">
        <f>38640</f>
        <v>38640</v>
      </c>
      <c r="U145" s="17"/>
      <c r="V145" s="17"/>
      <c r="W145" s="21" t="s">
        <v>42</v>
      </c>
      <c r="X145" s="21"/>
      <c r="Y145" s="21"/>
      <c r="Z145" s="21"/>
      <c r="AA145" s="21"/>
      <c r="AB145" s="46">
        <f>38640</f>
        <v>38640</v>
      </c>
      <c r="AC145" s="46"/>
    </row>
    <row r="146" spans="1:29" s="1" customFormat="1" ht="13.5" customHeight="1">
      <c r="A146" s="14" t="s">
        <v>171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5" t="s">
        <v>126</v>
      </c>
      <c r="M146" s="15"/>
      <c r="N146" s="15"/>
      <c r="O146" s="15" t="s">
        <v>223</v>
      </c>
      <c r="P146" s="15"/>
      <c r="Q146" s="15"/>
      <c r="R146" s="52" t="s">
        <v>172</v>
      </c>
      <c r="S146" s="52"/>
      <c r="T146" s="17">
        <f>1700000</f>
        <v>1700000</v>
      </c>
      <c r="U146" s="17"/>
      <c r="V146" s="17"/>
      <c r="W146" s="17">
        <f>1677569.34</f>
        <v>1677569.34</v>
      </c>
      <c r="X146" s="17"/>
      <c r="Y146" s="17"/>
      <c r="Z146" s="17"/>
      <c r="AA146" s="17"/>
      <c r="AB146" s="46">
        <f>22430.66</f>
        <v>22430.66</v>
      </c>
      <c r="AC146" s="46"/>
    </row>
    <row r="147" spans="1:29" s="1" customFormat="1" ht="13.5" customHeight="1">
      <c r="A147" s="14" t="s">
        <v>177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5" t="s">
        <v>126</v>
      </c>
      <c r="M147" s="15"/>
      <c r="N147" s="15"/>
      <c r="O147" s="15" t="s">
        <v>223</v>
      </c>
      <c r="P147" s="15"/>
      <c r="Q147" s="15"/>
      <c r="R147" s="52" t="s">
        <v>178</v>
      </c>
      <c r="S147" s="52"/>
      <c r="T147" s="17">
        <f>165000</f>
        <v>165000</v>
      </c>
      <c r="U147" s="17"/>
      <c r="V147" s="17"/>
      <c r="W147" s="17">
        <f>138223</f>
        <v>138223</v>
      </c>
      <c r="X147" s="17"/>
      <c r="Y147" s="17"/>
      <c r="Z147" s="17"/>
      <c r="AA147" s="17"/>
      <c r="AB147" s="46">
        <f>26777</f>
        <v>26777</v>
      </c>
      <c r="AC147" s="46"/>
    </row>
    <row r="148" spans="1:29" s="1" customFormat="1" ht="13.5" customHeight="1">
      <c r="A148" s="14" t="s">
        <v>165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5" t="s">
        <v>126</v>
      </c>
      <c r="M148" s="15"/>
      <c r="N148" s="15"/>
      <c r="O148" s="15" t="s">
        <v>226</v>
      </c>
      <c r="P148" s="15"/>
      <c r="Q148" s="15"/>
      <c r="R148" s="52" t="s">
        <v>166</v>
      </c>
      <c r="S148" s="52"/>
      <c r="T148" s="17">
        <f>209600</f>
        <v>209600</v>
      </c>
      <c r="U148" s="17"/>
      <c r="V148" s="17"/>
      <c r="W148" s="17">
        <f>146686.8</f>
        <v>146686.8</v>
      </c>
      <c r="X148" s="17"/>
      <c r="Y148" s="17"/>
      <c r="Z148" s="17"/>
      <c r="AA148" s="17"/>
      <c r="AB148" s="46">
        <f>62913.2</f>
        <v>62913.2</v>
      </c>
      <c r="AC148" s="46"/>
    </row>
    <row r="149" spans="1:29" s="1" customFormat="1" ht="13.5" customHeight="1">
      <c r="A149" s="14" t="s">
        <v>171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5" t="s">
        <v>126</v>
      </c>
      <c r="M149" s="15"/>
      <c r="N149" s="15"/>
      <c r="O149" s="15" t="s">
        <v>227</v>
      </c>
      <c r="P149" s="15"/>
      <c r="Q149" s="15"/>
      <c r="R149" s="52" t="s">
        <v>172</v>
      </c>
      <c r="S149" s="52"/>
      <c r="T149" s="17">
        <f>310854.31</f>
        <v>310854.31</v>
      </c>
      <c r="U149" s="17"/>
      <c r="V149" s="17"/>
      <c r="W149" s="17">
        <f>310854.31</f>
        <v>310854.31</v>
      </c>
      <c r="X149" s="17"/>
      <c r="Y149" s="17"/>
      <c r="Z149" s="17"/>
      <c r="AA149" s="17"/>
      <c r="AB149" s="46">
        <f>0</f>
        <v>0</v>
      </c>
      <c r="AC149" s="46"/>
    </row>
    <row r="150" spans="1:29" s="1" customFormat="1" ht="13.5" customHeight="1">
      <c r="A150" s="14" t="s">
        <v>151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5" t="s">
        <v>126</v>
      </c>
      <c r="M150" s="15"/>
      <c r="N150" s="15"/>
      <c r="O150" s="15" t="s">
        <v>228</v>
      </c>
      <c r="P150" s="15"/>
      <c r="Q150" s="15"/>
      <c r="R150" s="52" t="s">
        <v>153</v>
      </c>
      <c r="S150" s="52"/>
      <c r="T150" s="17">
        <f>7639423.08</f>
        <v>7639423.08</v>
      </c>
      <c r="U150" s="17"/>
      <c r="V150" s="17"/>
      <c r="W150" s="17">
        <f>7639423.08</f>
        <v>7639423.08</v>
      </c>
      <c r="X150" s="17"/>
      <c r="Y150" s="17"/>
      <c r="Z150" s="17"/>
      <c r="AA150" s="17"/>
      <c r="AB150" s="46">
        <f>0</f>
        <v>0</v>
      </c>
      <c r="AC150" s="46"/>
    </row>
    <row r="151" spans="1:29" s="1" customFormat="1" ht="13.5" customHeight="1">
      <c r="A151" s="14" t="s">
        <v>151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5" t="s">
        <v>126</v>
      </c>
      <c r="M151" s="15"/>
      <c r="N151" s="15"/>
      <c r="O151" s="15" t="s">
        <v>229</v>
      </c>
      <c r="P151" s="15"/>
      <c r="Q151" s="15"/>
      <c r="R151" s="52" t="s">
        <v>153</v>
      </c>
      <c r="S151" s="52"/>
      <c r="T151" s="17">
        <f>143315.21</f>
        <v>143315.21</v>
      </c>
      <c r="U151" s="17"/>
      <c r="V151" s="17"/>
      <c r="W151" s="17">
        <f>143276.75</f>
        <v>143276.75</v>
      </c>
      <c r="X151" s="17"/>
      <c r="Y151" s="17"/>
      <c r="Z151" s="17"/>
      <c r="AA151" s="17"/>
      <c r="AB151" s="46">
        <f>38.46</f>
        <v>38.46</v>
      </c>
      <c r="AC151" s="46"/>
    </row>
    <row r="152" spans="1:29" s="1" customFormat="1" ht="13.5" customHeight="1">
      <c r="A152" s="14" t="s">
        <v>127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5" t="s">
        <v>126</v>
      </c>
      <c r="M152" s="15"/>
      <c r="N152" s="15"/>
      <c r="O152" s="15" t="s">
        <v>230</v>
      </c>
      <c r="P152" s="15"/>
      <c r="Q152" s="15"/>
      <c r="R152" s="52" t="s">
        <v>129</v>
      </c>
      <c r="S152" s="52"/>
      <c r="T152" s="17">
        <f>648.23</f>
        <v>648.23</v>
      </c>
      <c r="U152" s="17"/>
      <c r="V152" s="17"/>
      <c r="W152" s="17">
        <f>648.23</f>
        <v>648.23</v>
      </c>
      <c r="X152" s="17"/>
      <c r="Y152" s="17"/>
      <c r="Z152" s="17"/>
      <c r="AA152" s="17"/>
      <c r="AB152" s="46">
        <f>0</f>
        <v>0</v>
      </c>
      <c r="AC152" s="46"/>
    </row>
    <row r="153" spans="1:29" s="1" customFormat="1" ht="13.5" customHeight="1">
      <c r="A153" s="14" t="s">
        <v>133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5" t="s">
        <v>126</v>
      </c>
      <c r="M153" s="15"/>
      <c r="N153" s="15"/>
      <c r="O153" s="15" t="s">
        <v>231</v>
      </c>
      <c r="P153" s="15"/>
      <c r="Q153" s="15"/>
      <c r="R153" s="52" t="s">
        <v>135</v>
      </c>
      <c r="S153" s="52"/>
      <c r="T153" s="17">
        <f>195.77</f>
        <v>195.77</v>
      </c>
      <c r="U153" s="17"/>
      <c r="V153" s="17"/>
      <c r="W153" s="17">
        <f>195.77</f>
        <v>195.77</v>
      </c>
      <c r="X153" s="17"/>
      <c r="Y153" s="17"/>
      <c r="Z153" s="17"/>
      <c r="AA153" s="17"/>
      <c r="AB153" s="46">
        <f>0</f>
        <v>0</v>
      </c>
      <c r="AC153" s="46"/>
    </row>
    <row r="154" spans="1:29" s="1" customFormat="1" ht="13.5" customHeight="1">
      <c r="A154" s="14" t="s">
        <v>151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5" t="s">
        <v>126</v>
      </c>
      <c r="M154" s="15"/>
      <c r="N154" s="15"/>
      <c r="O154" s="15" t="s">
        <v>232</v>
      </c>
      <c r="P154" s="15"/>
      <c r="Q154" s="15"/>
      <c r="R154" s="52" t="s">
        <v>153</v>
      </c>
      <c r="S154" s="52"/>
      <c r="T154" s="17">
        <f>66500</f>
        <v>66500</v>
      </c>
      <c r="U154" s="17"/>
      <c r="V154" s="17"/>
      <c r="W154" s="17">
        <f>42500</f>
        <v>42500</v>
      </c>
      <c r="X154" s="17"/>
      <c r="Y154" s="17"/>
      <c r="Z154" s="17"/>
      <c r="AA154" s="17"/>
      <c r="AB154" s="46">
        <f>24000</f>
        <v>24000</v>
      </c>
      <c r="AC154" s="46"/>
    </row>
    <row r="155" spans="1:29" s="1" customFormat="1" ht="13.5" customHeight="1">
      <c r="A155" s="14" t="s">
        <v>151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5" t="s">
        <v>126</v>
      </c>
      <c r="M155" s="15"/>
      <c r="N155" s="15"/>
      <c r="O155" s="15" t="s">
        <v>233</v>
      </c>
      <c r="P155" s="15"/>
      <c r="Q155" s="15"/>
      <c r="R155" s="52" t="s">
        <v>153</v>
      </c>
      <c r="S155" s="52"/>
      <c r="T155" s="17">
        <f>60000</f>
        <v>60000</v>
      </c>
      <c r="U155" s="17"/>
      <c r="V155" s="17"/>
      <c r="W155" s="17">
        <f>18500</f>
        <v>18500</v>
      </c>
      <c r="X155" s="17"/>
      <c r="Y155" s="17"/>
      <c r="Z155" s="17"/>
      <c r="AA155" s="17"/>
      <c r="AB155" s="46">
        <f>41500</f>
        <v>41500</v>
      </c>
      <c r="AC155" s="46"/>
    </row>
    <row r="156" spans="1:29" s="1" customFormat="1" ht="13.5" customHeight="1">
      <c r="A156" s="14" t="s">
        <v>151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5" t="s">
        <v>126</v>
      </c>
      <c r="M156" s="15"/>
      <c r="N156" s="15"/>
      <c r="O156" s="15" t="s">
        <v>234</v>
      </c>
      <c r="P156" s="15"/>
      <c r="Q156" s="15"/>
      <c r="R156" s="52" t="s">
        <v>153</v>
      </c>
      <c r="S156" s="52"/>
      <c r="T156" s="17">
        <f>50002.35</f>
        <v>50002.35</v>
      </c>
      <c r="U156" s="17"/>
      <c r="V156" s="17"/>
      <c r="W156" s="17">
        <f>50002.35</f>
        <v>50002.35</v>
      </c>
      <c r="X156" s="17"/>
      <c r="Y156" s="17"/>
      <c r="Z156" s="17"/>
      <c r="AA156" s="17"/>
      <c r="AB156" s="46">
        <f>0</f>
        <v>0</v>
      </c>
      <c r="AC156" s="46"/>
    </row>
    <row r="157" spans="1:29" s="1" customFormat="1" ht="13.5" customHeight="1">
      <c r="A157" s="14" t="s">
        <v>235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5" t="s">
        <v>126</v>
      </c>
      <c r="M157" s="15"/>
      <c r="N157" s="15"/>
      <c r="O157" s="15" t="s">
        <v>234</v>
      </c>
      <c r="P157" s="15"/>
      <c r="Q157" s="15"/>
      <c r="R157" s="52" t="s">
        <v>236</v>
      </c>
      <c r="S157" s="52"/>
      <c r="T157" s="17">
        <f>34530</f>
        <v>34530</v>
      </c>
      <c r="U157" s="17"/>
      <c r="V157" s="17"/>
      <c r="W157" s="17">
        <f>5340</f>
        <v>5340</v>
      </c>
      <c r="X157" s="17"/>
      <c r="Y157" s="17"/>
      <c r="Z157" s="17"/>
      <c r="AA157" s="17"/>
      <c r="AB157" s="46">
        <f>29190</f>
        <v>29190</v>
      </c>
      <c r="AC157" s="46"/>
    </row>
    <row r="158" spans="1:29" s="1" customFormat="1" ht="13.5" customHeight="1">
      <c r="A158" s="14" t="s">
        <v>177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5" t="s">
        <v>126</v>
      </c>
      <c r="M158" s="15"/>
      <c r="N158" s="15"/>
      <c r="O158" s="15" t="s">
        <v>234</v>
      </c>
      <c r="P158" s="15"/>
      <c r="Q158" s="15"/>
      <c r="R158" s="52" t="s">
        <v>178</v>
      </c>
      <c r="S158" s="52"/>
      <c r="T158" s="17">
        <f>34667.65</f>
        <v>34667.65</v>
      </c>
      <c r="U158" s="17"/>
      <c r="V158" s="17"/>
      <c r="W158" s="17">
        <f>24570</f>
        <v>24570</v>
      </c>
      <c r="X158" s="17"/>
      <c r="Y158" s="17"/>
      <c r="Z158" s="17"/>
      <c r="AA158" s="17"/>
      <c r="AB158" s="46">
        <f>10097.65</f>
        <v>10097.65</v>
      </c>
      <c r="AC158" s="46"/>
    </row>
    <row r="159" spans="1:29" s="1" customFormat="1" ht="24" customHeight="1">
      <c r="A159" s="14" t="s">
        <v>179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5" t="s">
        <v>126</v>
      </c>
      <c r="M159" s="15"/>
      <c r="N159" s="15"/>
      <c r="O159" s="15" t="s">
        <v>234</v>
      </c>
      <c r="P159" s="15"/>
      <c r="Q159" s="15"/>
      <c r="R159" s="52" t="s">
        <v>180</v>
      </c>
      <c r="S159" s="52"/>
      <c r="T159" s="17">
        <f>80800</f>
        <v>80800</v>
      </c>
      <c r="U159" s="17"/>
      <c r="V159" s="17"/>
      <c r="W159" s="17">
        <f>39990</f>
        <v>39990</v>
      </c>
      <c r="X159" s="17"/>
      <c r="Y159" s="17"/>
      <c r="Z159" s="17"/>
      <c r="AA159" s="17"/>
      <c r="AB159" s="46">
        <f>40810</f>
        <v>40810</v>
      </c>
      <c r="AC159" s="46"/>
    </row>
    <row r="160" spans="1:29" s="1" customFormat="1" ht="13.5" customHeight="1">
      <c r="A160" s="14" t="s">
        <v>237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5" t="s">
        <v>126</v>
      </c>
      <c r="M160" s="15"/>
      <c r="N160" s="15"/>
      <c r="O160" s="15" t="s">
        <v>238</v>
      </c>
      <c r="P160" s="15"/>
      <c r="Q160" s="15"/>
      <c r="R160" s="52" t="s">
        <v>239</v>
      </c>
      <c r="S160" s="52"/>
      <c r="T160" s="17">
        <f>22961821.19</f>
        <v>22961821.19</v>
      </c>
      <c r="U160" s="17"/>
      <c r="V160" s="17"/>
      <c r="W160" s="17">
        <f>20882416.19</f>
        <v>20882416.19</v>
      </c>
      <c r="X160" s="17"/>
      <c r="Y160" s="17"/>
      <c r="Z160" s="17"/>
      <c r="AA160" s="17"/>
      <c r="AB160" s="46">
        <f>2079405</f>
        <v>2079405</v>
      </c>
      <c r="AC160" s="46"/>
    </row>
    <row r="161" spans="1:29" s="1" customFormat="1" ht="13.5" customHeight="1">
      <c r="A161" s="14" t="s">
        <v>237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5" t="s">
        <v>126</v>
      </c>
      <c r="M161" s="15"/>
      <c r="N161" s="15"/>
      <c r="O161" s="15" t="s">
        <v>240</v>
      </c>
      <c r="P161" s="15"/>
      <c r="Q161" s="15"/>
      <c r="R161" s="52" t="s">
        <v>239</v>
      </c>
      <c r="S161" s="52"/>
      <c r="T161" s="17">
        <f>11570</f>
        <v>11570</v>
      </c>
      <c r="U161" s="17"/>
      <c r="V161" s="17"/>
      <c r="W161" s="17">
        <f>11570</f>
        <v>11570</v>
      </c>
      <c r="X161" s="17"/>
      <c r="Y161" s="17"/>
      <c r="Z161" s="17"/>
      <c r="AA161" s="17"/>
      <c r="AB161" s="46">
        <f>0</f>
        <v>0</v>
      </c>
      <c r="AC161" s="46"/>
    </row>
    <row r="162" spans="1:29" s="1" customFormat="1" ht="15" customHeight="1">
      <c r="A162" s="47" t="s">
        <v>241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8" t="s">
        <v>242</v>
      </c>
      <c r="M162" s="48"/>
      <c r="N162" s="48"/>
      <c r="O162" s="48" t="s">
        <v>37</v>
      </c>
      <c r="P162" s="48"/>
      <c r="Q162" s="48"/>
      <c r="R162" s="49" t="s">
        <v>37</v>
      </c>
      <c r="S162" s="49"/>
      <c r="T162" s="50">
        <f>-6939504.07</f>
        <v>-6939504.07</v>
      </c>
      <c r="U162" s="50"/>
      <c r="V162" s="50"/>
      <c r="W162" s="50">
        <f>-1018844.75</f>
        <v>-1018844.75</v>
      </c>
      <c r="X162" s="50"/>
      <c r="Y162" s="50"/>
      <c r="Z162" s="50"/>
      <c r="AA162" s="50"/>
      <c r="AB162" s="51" t="s">
        <v>37</v>
      </c>
      <c r="AC162" s="51"/>
    </row>
    <row r="163" spans="1:29" s="1" customFormat="1" ht="13.5" customHeight="1">
      <c r="A163" s="8" t="s">
        <v>11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s="1" customFormat="1" ht="13.5" customHeight="1">
      <c r="A164" s="42" t="s">
        <v>243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</row>
    <row r="165" spans="1:29" s="1" customFormat="1" ht="45.75" customHeight="1">
      <c r="A165" s="43" t="s">
        <v>23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 t="s">
        <v>24</v>
      </c>
      <c r="N165" s="43"/>
      <c r="O165" s="43"/>
      <c r="P165" s="43" t="s">
        <v>244</v>
      </c>
      <c r="Q165" s="43"/>
      <c r="R165" s="43"/>
      <c r="S165" s="44" t="s">
        <v>26</v>
      </c>
      <c r="T165" s="44"/>
      <c r="U165" s="44"/>
      <c r="V165" s="44" t="s">
        <v>27</v>
      </c>
      <c r="W165" s="44"/>
      <c r="X165" s="44"/>
      <c r="Y165" s="44"/>
      <c r="Z165" s="44"/>
      <c r="AA165" s="45" t="s">
        <v>28</v>
      </c>
      <c r="AB165" s="45"/>
      <c r="AC165" s="45"/>
    </row>
    <row r="166" spans="1:29" s="1" customFormat="1" ht="12.75" customHeight="1">
      <c r="A166" s="39" t="s">
        <v>29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 t="s">
        <v>30</v>
      </c>
      <c r="N166" s="39"/>
      <c r="O166" s="39"/>
      <c r="P166" s="39" t="s">
        <v>31</v>
      </c>
      <c r="Q166" s="39"/>
      <c r="R166" s="39"/>
      <c r="S166" s="40" t="s">
        <v>32</v>
      </c>
      <c r="T166" s="40"/>
      <c r="U166" s="40"/>
      <c r="V166" s="40" t="s">
        <v>33</v>
      </c>
      <c r="W166" s="40"/>
      <c r="X166" s="40"/>
      <c r="Y166" s="40"/>
      <c r="Z166" s="40"/>
      <c r="AA166" s="41" t="s">
        <v>34</v>
      </c>
      <c r="AB166" s="41"/>
      <c r="AC166" s="41"/>
    </row>
    <row r="167" spans="1:29" s="1" customFormat="1" ht="13.5" customHeight="1">
      <c r="A167" s="34" t="s">
        <v>245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5" t="s">
        <v>246</v>
      </c>
      <c r="N167" s="35"/>
      <c r="O167" s="35"/>
      <c r="P167" s="35" t="s">
        <v>37</v>
      </c>
      <c r="Q167" s="35"/>
      <c r="R167" s="35"/>
      <c r="S167" s="36">
        <f>6939504.07</f>
        <v>6939504.07</v>
      </c>
      <c r="T167" s="36"/>
      <c r="U167" s="36"/>
      <c r="V167" s="37">
        <f>1018844.75</f>
        <v>1018844.75</v>
      </c>
      <c r="W167" s="37"/>
      <c r="X167" s="37"/>
      <c r="Y167" s="37"/>
      <c r="Z167" s="37"/>
      <c r="AA167" s="38" t="s">
        <v>37</v>
      </c>
      <c r="AB167" s="38"/>
      <c r="AC167" s="38"/>
    </row>
    <row r="168" spans="1:29" s="1" customFormat="1" ht="13.5" customHeight="1">
      <c r="A168" s="32" t="s">
        <v>247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3" t="s">
        <v>11</v>
      </c>
      <c r="N168" s="23"/>
      <c r="O168" s="23"/>
      <c r="P168" s="23" t="s">
        <v>11</v>
      </c>
      <c r="Q168" s="23"/>
      <c r="R168" s="23"/>
      <c r="S168" s="24" t="s">
        <v>11</v>
      </c>
      <c r="T168" s="24"/>
      <c r="U168" s="24"/>
      <c r="V168" s="33" t="s">
        <v>11</v>
      </c>
      <c r="W168" s="33"/>
      <c r="X168" s="33"/>
      <c r="Y168" s="33"/>
      <c r="Z168" s="33"/>
      <c r="AA168" s="25" t="s">
        <v>11</v>
      </c>
      <c r="AB168" s="25"/>
      <c r="AC168" s="25"/>
    </row>
    <row r="169" spans="1:29" s="1" customFormat="1" ht="13.5" customHeight="1">
      <c r="A169" s="26" t="s">
        <v>248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7" t="s">
        <v>249</v>
      </c>
      <c r="N169" s="27"/>
      <c r="O169" s="27"/>
      <c r="P169" s="28" t="s">
        <v>37</v>
      </c>
      <c r="Q169" s="28"/>
      <c r="R169" s="28"/>
      <c r="S169" s="29" t="s">
        <v>42</v>
      </c>
      <c r="T169" s="29"/>
      <c r="U169" s="29"/>
      <c r="V169" s="30" t="s">
        <v>42</v>
      </c>
      <c r="W169" s="30"/>
      <c r="X169" s="30"/>
      <c r="Y169" s="30"/>
      <c r="Z169" s="30"/>
      <c r="AA169" s="31" t="s">
        <v>42</v>
      </c>
      <c r="AB169" s="31"/>
      <c r="AC169" s="31"/>
    </row>
    <row r="170" spans="1:29" s="1" customFormat="1" ht="13.5" customHeight="1">
      <c r="A170" s="14" t="s">
        <v>11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5" t="s">
        <v>249</v>
      </c>
      <c r="N170" s="15"/>
      <c r="O170" s="15"/>
      <c r="P170" s="15" t="s">
        <v>11</v>
      </c>
      <c r="Q170" s="15"/>
      <c r="R170" s="15"/>
      <c r="S170" s="20" t="s">
        <v>42</v>
      </c>
      <c r="T170" s="20"/>
      <c r="U170" s="20"/>
      <c r="V170" s="21" t="s">
        <v>42</v>
      </c>
      <c r="W170" s="21"/>
      <c r="X170" s="21"/>
      <c r="Y170" s="21"/>
      <c r="Z170" s="21"/>
      <c r="AA170" s="22" t="s">
        <v>42</v>
      </c>
      <c r="AB170" s="22"/>
      <c r="AC170" s="22"/>
    </row>
    <row r="171" spans="1:29" s="1" customFormat="1" ht="13.5" customHeight="1">
      <c r="A171" s="14" t="s">
        <v>250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23" t="s">
        <v>251</v>
      </c>
      <c r="N171" s="23"/>
      <c r="O171" s="23"/>
      <c r="P171" s="23" t="s">
        <v>37</v>
      </c>
      <c r="Q171" s="23"/>
      <c r="R171" s="23"/>
      <c r="S171" s="24" t="s">
        <v>42</v>
      </c>
      <c r="T171" s="24"/>
      <c r="U171" s="24"/>
      <c r="V171" s="21" t="s">
        <v>42</v>
      </c>
      <c r="W171" s="21"/>
      <c r="X171" s="21"/>
      <c r="Y171" s="21"/>
      <c r="Z171" s="21"/>
      <c r="AA171" s="25" t="s">
        <v>42</v>
      </c>
      <c r="AB171" s="25"/>
      <c r="AC171" s="25"/>
    </row>
    <row r="172" spans="1:29" s="1" customFormat="1" ht="13.5" customHeight="1">
      <c r="A172" s="14" t="s">
        <v>11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5" t="s">
        <v>251</v>
      </c>
      <c r="N172" s="15"/>
      <c r="O172" s="15"/>
      <c r="P172" s="15" t="s">
        <v>11</v>
      </c>
      <c r="Q172" s="15"/>
      <c r="R172" s="15"/>
      <c r="S172" s="20" t="s">
        <v>42</v>
      </c>
      <c r="T172" s="20"/>
      <c r="U172" s="20"/>
      <c r="V172" s="21" t="s">
        <v>42</v>
      </c>
      <c r="W172" s="21"/>
      <c r="X172" s="21"/>
      <c r="Y172" s="21"/>
      <c r="Z172" s="21"/>
      <c r="AA172" s="22" t="s">
        <v>42</v>
      </c>
      <c r="AB172" s="22"/>
      <c r="AC172" s="22"/>
    </row>
    <row r="173" spans="1:29" s="1" customFormat="1" ht="13.5" customHeight="1">
      <c r="A173" s="14" t="s">
        <v>252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5" t="s">
        <v>253</v>
      </c>
      <c r="N173" s="15"/>
      <c r="O173" s="15"/>
      <c r="P173" s="15" t="s">
        <v>254</v>
      </c>
      <c r="Q173" s="15"/>
      <c r="R173" s="15"/>
      <c r="S173" s="16">
        <f>6939504.07</f>
        <v>6939504.07</v>
      </c>
      <c r="T173" s="16"/>
      <c r="U173" s="16"/>
      <c r="V173" s="17">
        <f>1018844.75</f>
        <v>1018844.75</v>
      </c>
      <c r="W173" s="17"/>
      <c r="X173" s="17"/>
      <c r="Y173" s="17"/>
      <c r="Z173" s="17"/>
      <c r="AA173" s="19">
        <f>5920659.32</f>
        <v>5920659.32</v>
      </c>
      <c r="AB173" s="19"/>
      <c r="AC173" s="19"/>
    </row>
    <row r="174" spans="1:29" s="1" customFormat="1" ht="13.5" customHeight="1">
      <c r="A174" s="14" t="s">
        <v>255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5" t="s">
        <v>256</v>
      </c>
      <c r="N174" s="15"/>
      <c r="O174" s="15"/>
      <c r="P174" s="15" t="s">
        <v>257</v>
      </c>
      <c r="Q174" s="15"/>
      <c r="R174" s="15"/>
      <c r="S174" s="16">
        <f>-74574701.61</f>
        <v>-74574701.61</v>
      </c>
      <c r="T174" s="16"/>
      <c r="U174" s="16"/>
      <c r="V174" s="17">
        <f>-71037783.74</f>
        <v>-71037783.74</v>
      </c>
      <c r="W174" s="17"/>
      <c r="X174" s="17"/>
      <c r="Y174" s="17"/>
      <c r="Z174" s="17"/>
      <c r="AA174" s="18" t="s">
        <v>37</v>
      </c>
      <c r="AB174" s="18"/>
      <c r="AC174" s="18"/>
    </row>
    <row r="175" spans="1:29" s="1" customFormat="1" ht="13.5" customHeight="1">
      <c r="A175" s="14" t="s">
        <v>258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5" t="s">
        <v>259</v>
      </c>
      <c r="N175" s="15"/>
      <c r="O175" s="15"/>
      <c r="P175" s="15" t="s">
        <v>260</v>
      </c>
      <c r="Q175" s="15"/>
      <c r="R175" s="15"/>
      <c r="S175" s="16">
        <f>81514205.68</f>
        <v>81514205.68</v>
      </c>
      <c r="T175" s="16"/>
      <c r="U175" s="16"/>
      <c r="V175" s="17">
        <f>72056628.49</f>
        <v>72056628.49</v>
      </c>
      <c r="W175" s="17"/>
      <c r="X175" s="17"/>
      <c r="Y175" s="17"/>
      <c r="Z175" s="17"/>
      <c r="AA175" s="18" t="s">
        <v>37</v>
      </c>
      <c r="AB175" s="18"/>
      <c r="AC175" s="18"/>
    </row>
    <row r="176" spans="1:29" s="1" customFormat="1" ht="13.5" customHeight="1">
      <c r="A176" s="13" t="s">
        <v>11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1:29" s="1" customFormat="1" ht="13.5" customHeight="1">
      <c r="A177" s="8" t="s">
        <v>261</v>
      </c>
      <c r="B177" s="8"/>
      <c r="C177" s="8"/>
      <c r="D177" s="8"/>
      <c r="E177" s="8"/>
      <c r="F177" s="8"/>
      <c r="G177" s="8"/>
      <c r="H177" s="8"/>
      <c r="I177" s="12" t="s">
        <v>11</v>
      </c>
      <c r="J177" s="12"/>
      <c r="K177" s="12"/>
      <c r="L177" s="12"/>
      <c r="M177" s="12"/>
      <c r="N177" s="12"/>
      <c r="O177" s="12"/>
      <c r="P177" s="12" t="s">
        <v>262</v>
      </c>
      <c r="Q177" s="12"/>
      <c r="R177" s="12"/>
      <c r="S177" s="12"/>
      <c r="T177" s="12"/>
      <c r="U177" s="8" t="s">
        <v>11</v>
      </c>
      <c r="V177" s="8"/>
      <c r="W177" s="8"/>
      <c r="X177" s="8"/>
      <c r="Y177" s="8"/>
      <c r="Z177" s="8"/>
      <c r="AA177" s="8"/>
      <c r="AB177" s="8"/>
      <c r="AC177" s="8"/>
    </row>
    <row r="178" spans="1:29" s="1" customFormat="1" ht="13.5" customHeight="1">
      <c r="A178" s="8" t="s">
        <v>11</v>
      </c>
      <c r="B178" s="8"/>
      <c r="C178" s="8"/>
      <c r="D178" s="8"/>
      <c r="E178" s="8"/>
      <c r="F178" s="8"/>
      <c r="G178" s="8"/>
      <c r="H178" s="8"/>
      <c r="I178" s="5" t="s">
        <v>11</v>
      </c>
      <c r="J178" s="11" t="s">
        <v>263</v>
      </c>
      <c r="K178" s="11"/>
      <c r="L178" s="11"/>
      <c r="M178" s="11"/>
      <c r="N178" s="8" t="s">
        <v>11</v>
      </c>
      <c r="O178" s="8"/>
      <c r="P178" s="5" t="s">
        <v>11</v>
      </c>
      <c r="Q178" s="11" t="s">
        <v>264</v>
      </c>
      <c r="R178" s="11"/>
      <c r="S178" s="11"/>
      <c r="T178" s="8" t="s">
        <v>11</v>
      </c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s="1" customFormat="1" ht="7.5" customHeight="1">
      <c r="A179" s="8" t="s">
        <v>11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s="1" customFormat="1" ht="13.5" customHeight="1">
      <c r="A180" s="8" t="s">
        <v>265</v>
      </c>
      <c r="B180" s="8"/>
      <c r="C180" s="8"/>
      <c r="D180" s="8"/>
      <c r="E180" s="8"/>
      <c r="F180" s="8"/>
      <c r="G180" s="8"/>
      <c r="H180" s="8"/>
      <c r="I180" s="12" t="s">
        <v>11</v>
      </c>
      <c r="J180" s="12"/>
      <c r="K180" s="12"/>
      <c r="L180" s="12"/>
      <c r="M180" s="12"/>
      <c r="N180" s="12"/>
      <c r="O180" s="12"/>
      <c r="P180" s="12" t="s">
        <v>266</v>
      </c>
      <c r="Q180" s="12"/>
      <c r="R180" s="12"/>
      <c r="S180" s="12"/>
      <c r="T180" s="12"/>
      <c r="U180" s="8" t="s">
        <v>11</v>
      </c>
      <c r="V180" s="8"/>
      <c r="W180" s="8"/>
      <c r="X180" s="8"/>
      <c r="Y180" s="8"/>
      <c r="Z180" s="8"/>
      <c r="AA180" s="8"/>
      <c r="AB180" s="8"/>
      <c r="AC180" s="8"/>
    </row>
    <row r="181" spans="1:29" s="1" customFormat="1" ht="13.5" customHeight="1">
      <c r="A181" s="8" t="s">
        <v>11</v>
      </c>
      <c r="B181" s="8"/>
      <c r="C181" s="8"/>
      <c r="D181" s="8"/>
      <c r="E181" s="8"/>
      <c r="F181" s="8"/>
      <c r="G181" s="8"/>
      <c r="H181" s="8"/>
      <c r="I181" s="5" t="s">
        <v>11</v>
      </c>
      <c r="J181" s="11" t="s">
        <v>263</v>
      </c>
      <c r="K181" s="11"/>
      <c r="L181" s="11"/>
      <c r="M181" s="11"/>
      <c r="N181" s="8" t="s">
        <v>11</v>
      </c>
      <c r="O181" s="8"/>
      <c r="P181" s="5" t="s">
        <v>11</v>
      </c>
      <c r="Q181" s="11" t="s">
        <v>264</v>
      </c>
      <c r="R181" s="11"/>
      <c r="S181" s="11"/>
      <c r="T181" s="8" t="s">
        <v>11</v>
      </c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s="1" customFormat="1" ht="7.5" customHeight="1">
      <c r="A182" s="8" t="s">
        <v>11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s="1" customFormat="1" ht="13.5" customHeight="1">
      <c r="A183" s="8" t="s">
        <v>267</v>
      </c>
      <c r="B183" s="8"/>
      <c r="C183" s="12" t="s">
        <v>265</v>
      </c>
      <c r="D183" s="12"/>
      <c r="E183" s="12"/>
      <c r="F183" s="12"/>
      <c r="G183" s="12"/>
      <c r="H183" s="12"/>
      <c r="I183" s="12" t="s">
        <v>11</v>
      </c>
      <c r="J183" s="12"/>
      <c r="K183" s="12"/>
      <c r="L183" s="12"/>
      <c r="M183" s="12"/>
      <c r="N183" s="12"/>
      <c r="O183" s="12"/>
      <c r="P183" s="12" t="s">
        <v>266</v>
      </c>
      <c r="Q183" s="12"/>
      <c r="R183" s="12"/>
      <c r="S183" s="12"/>
      <c r="T183" s="12"/>
      <c r="U183" s="8" t="s">
        <v>11</v>
      </c>
      <c r="V183" s="8"/>
      <c r="W183" s="8"/>
      <c r="X183" s="8"/>
      <c r="Y183" s="8"/>
      <c r="Z183" s="8"/>
      <c r="AA183" s="8"/>
      <c r="AB183" s="8"/>
      <c r="AC183" s="8"/>
    </row>
    <row r="184" spans="1:29" s="1" customFormat="1" ht="13.5" customHeight="1">
      <c r="A184" s="8" t="s">
        <v>11</v>
      </c>
      <c r="B184" s="8"/>
      <c r="C184" s="5" t="s">
        <v>11</v>
      </c>
      <c r="D184" s="11" t="s">
        <v>268</v>
      </c>
      <c r="E184" s="11"/>
      <c r="F184" s="11"/>
      <c r="G184" s="11"/>
      <c r="H184" s="5" t="s">
        <v>11</v>
      </c>
      <c r="I184" s="5" t="s">
        <v>11</v>
      </c>
      <c r="J184" s="11" t="s">
        <v>263</v>
      </c>
      <c r="K184" s="11"/>
      <c r="L184" s="11"/>
      <c r="M184" s="11"/>
      <c r="N184" s="8" t="s">
        <v>11</v>
      </c>
      <c r="O184" s="8"/>
      <c r="P184" s="5" t="s">
        <v>11</v>
      </c>
      <c r="Q184" s="11" t="s">
        <v>264</v>
      </c>
      <c r="R184" s="11"/>
      <c r="S184" s="11"/>
      <c r="T184" s="8" t="s">
        <v>11</v>
      </c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s="1" customFormat="1" ht="15.75" customHeight="1">
      <c r="A185" s="8" t="s">
        <v>11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s="1" customFormat="1" ht="13.5" customHeight="1">
      <c r="A186" s="9" t="s">
        <v>269</v>
      </c>
      <c r="B186" s="9"/>
      <c r="C186" s="9"/>
      <c r="D186" s="9"/>
      <c r="E186" s="9"/>
      <c r="F186" s="9"/>
      <c r="G186" s="9"/>
      <c r="H186" s="9"/>
      <c r="I186" s="9"/>
      <c r="J186" s="9"/>
      <c r="K186" s="8" t="s">
        <v>11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s="1" customFormat="1" ht="13.5" customHeight="1">
      <c r="A187" s="10" t="s">
        <v>270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</sheetData>
  <sheetProtection/>
  <mergeCells count="1127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A43:L43"/>
    <mergeCell ref="M43:O43"/>
    <mergeCell ref="P43:R43"/>
    <mergeCell ref="S43:U43"/>
    <mergeCell ref="V43:Z43"/>
    <mergeCell ref="AA43:AC43"/>
    <mergeCell ref="A44:L44"/>
    <mergeCell ref="M44:O44"/>
    <mergeCell ref="P44:R44"/>
    <mergeCell ref="S44:U44"/>
    <mergeCell ref="V44:Z44"/>
    <mergeCell ref="AA44:AC44"/>
    <mergeCell ref="A45:L45"/>
    <mergeCell ref="M45:O45"/>
    <mergeCell ref="P45:R45"/>
    <mergeCell ref="S45:U45"/>
    <mergeCell ref="V45:Z45"/>
    <mergeCell ref="AA45:AC45"/>
    <mergeCell ref="A46:L46"/>
    <mergeCell ref="M46:O46"/>
    <mergeCell ref="P46:R46"/>
    <mergeCell ref="S46:U46"/>
    <mergeCell ref="V46:Z46"/>
    <mergeCell ref="AA46:AC46"/>
    <mergeCell ref="A47:L47"/>
    <mergeCell ref="M47:O47"/>
    <mergeCell ref="P47:R47"/>
    <mergeCell ref="S47:U47"/>
    <mergeCell ref="V47:Z47"/>
    <mergeCell ref="AA47:AC47"/>
    <mergeCell ref="A48:L48"/>
    <mergeCell ref="M48:O48"/>
    <mergeCell ref="P48:R48"/>
    <mergeCell ref="S48:U48"/>
    <mergeCell ref="V48:Z48"/>
    <mergeCell ref="AA48:AC48"/>
    <mergeCell ref="A49:L49"/>
    <mergeCell ref="M49:O49"/>
    <mergeCell ref="P49:R49"/>
    <mergeCell ref="S49:U49"/>
    <mergeCell ref="V49:Z49"/>
    <mergeCell ref="AA49:AC49"/>
    <mergeCell ref="A50:L50"/>
    <mergeCell ref="M50:O50"/>
    <mergeCell ref="P50:R50"/>
    <mergeCell ref="S50:U50"/>
    <mergeCell ref="V50:Z50"/>
    <mergeCell ref="AA50:AC50"/>
    <mergeCell ref="A51:L51"/>
    <mergeCell ref="M51:O51"/>
    <mergeCell ref="P51:R51"/>
    <mergeCell ref="S51:U51"/>
    <mergeCell ref="V51:Z51"/>
    <mergeCell ref="AA51:AC51"/>
    <mergeCell ref="A52:L52"/>
    <mergeCell ref="M52:O52"/>
    <mergeCell ref="P52:R52"/>
    <mergeCell ref="S52:U52"/>
    <mergeCell ref="V52:Z52"/>
    <mergeCell ref="AA52:AC52"/>
    <mergeCell ref="A53:L53"/>
    <mergeCell ref="M53:O53"/>
    <mergeCell ref="P53:R53"/>
    <mergeCell ref="S53:U53"/>
    <mergeCell ref="V53:Z53"/>
    <mergeCell ref="AA53:AC53"/>
    <mergeCell ref="A54:L54"/>
    <mergeCell ref="M54:O54"/>
    <mergeCell ref="P54:R54"/>
    <mergeCell ref="S54:U54"/>
    <mergeCell ref="V54:Z54"/>
    <mergeCell ref="AA54:AC54"/>
    <mergeCell ref="A55:L55"/>
    <mergeCell ref="M55:O55"/>
    <mergeCell ref="P55:R55"/>
    <mergeCell ref="S55:U55"/>
    <mergeCell ref="V55:Z55"/>
    <mergeCell ref="AA55:AC55"/>
    <mergeCell ref="A56:L56"/>
    <mergeCell ref="M56:O56"/>
    <mergeCell ref="P56:R56"/>
    <mergeCell ref="S56:U56"/>
    <mergeCell ref="V56:Z56"/>
    <mergeCell ref="AA56:AC56"/>
    <mergeCell ref="A57:L57"/>
    <mergeCell ref="M57:O57"/>
    <mergeCell ref="P57:R57"/>
    <mergeCell ref="S57:U57"/>
    <mergeCell ref="V57:Z57"/>
    <mergeCell ref="AA57:AC57"/>
    <mergeCell ref="A58:L58"/>
    <mergeCell ref="M58:O58"/>
    <mergeCell ref="P58:R58"/>
    <mergeCell ref="S58:U58"/>
    <mergeCell ref="V58:Z58"/>
    <mergeCell ref="AA58:AC58"/>
    <mergeCell ref="A59:L59"/>
    <mergeCell ref="M59:O59"/>
    <mergeCell ref="P59:R59"/>
    <mergeCell ref="S59:U59"/>
    <mergeCell ref="V59:Z59"/>
    <mergeCell ref="AA59:AC59"/>
    <mergeCell ref="A60:L60"/>
    <mergeCell ref="M60:O60"/>
    <mergeCell ref="P60:R60"/>
    <mergeCell ref="S60:U60"/>
    <mergeCell ref="V60:Z60"/>
    <mergeCell ref="AA60:AC60"/>
    <mergeCell ref="T64:V64"/>
    <mergeCell ref="W64:AA64"/>
    <mergeCell ref="AB64:AC64"/>
    <mergeCell ref="A61:L61"/>
    <mergeCell ref="M61:O61"/>
    <mergeCell ref="P61:R61"/>
    <mergeCell ref="S61:U61"/>
    <mergeCell ref="V61:Z61"/>
    <mergeCell ref="AA61:AC61"/>
    <mergeCell ref="O65:Q65"/>
    <mergeCell ref="R65:S65"/>
    <mergeCell ref="T65:V65"/>
    <mergeCell ref="W65:AA65"/>
    <mergeCell ref="A62:AC62"/>
    <mergeCell ref="A63:AC63"/>
    <mergeCell ref="A64:K64"/>
    <mergeCell ref="L64:N64"/>
    <mergeCell ref="O64:Q64"/>
    <mergeCell ref="R64:S64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W68:AA68"/>
    <mergeCell ref="AB68:AC68"/>
    <mergeCell ref="A67:K67"/>
    <mergeCell ref="L67:N67"/>
    <mergeCell ref="O67:Q67"/>
    <mergeCell ref="R67:S67"/>
    <mergeCell ref="T67:V67"/>
    <mergeCell ref="W67:AA67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W72:AA72"/>
    <mergeCell ref="AB72:AC72"/>
    <mergeCell ref="A71:K71"/>
    <mergeCell ref="L71:N71"/>
    <mergeCell ref="O71:Q71"/>
    <mergeCell ref="R71:S71"/>
    <mergeCell ref="T71:V71"/>
    <mergeCell ref="W71:AA71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W76:AA76"/>
    <mergeCell ref="AB76:AC76"/>
    <mergeCell ref="A75:K75"/>
    <mergeCell ref="L75:N75"/>
    <mergeCell ref="O75:Q75"/>
    <mergeCell ref="R75:S75"/>
    <mergeCell ref="T75:V75"/>
    <mergeCell ref="W75:AA75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W80:AA80"/>
    <mergeCell ref="AB80:AC80"/>
    <mergeCell ref="A79:K79"/>
    <mergeCell ref="L79:N79"/>
    <mergeCell ref="O79:Q79"/>
    <mergeCell ref="R79:S79"/>
    <mergeCell ref="T79:V79"/>
    <mergeCell ref="W79:AA79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W84:AA84"/>
    <mergeCell ref="AB84:AC84"/>
    <mergeCell ref="A83:K83"/>
    <mergeCell ref="L83:N83"/>
    <mergeCell ref="O83:Q83"/>
    <mergeCell ref="R83:S83"/>
    <mergeCell ref="T83:V83"/>
    <mergeCell ref="W83:AA83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W88:AA88"/>
    <mergeCell ref="AB88:AC88"/>
    <mergeCell ref="A87:K87"/>
    <mergeCell ref="L87:N87"/>
    <mergeCell ref="O87:Q87"/>
    <mergeCell ref="R87:S87"/>
    <mergeCell ref="T87:V87"/>
    <mergeCell ref="W87:AA87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W92:AA92"/>
    <mergeCell ref="AB92:AC92"/>
    <mergeCell ref="A91:K91"/>
    <mergeCell ref="L91:N91"/>
    <mergeCell ref="O91:Q91"/>
    <mergeCell ref="R91:S91"/>
    <mergeCell ref="T91:V91"/>
    <mergeCell ref="W91:AA91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W96:AA96"/>
    <mergeCell ref="AB96:AC96"/>
    <mergeCell ref="A95:K95"/>
    <mergeCell ref="L95:N95"/>
    <mergeCell ref="O95:Q95"/>
    <mergeCell ref="R95:S95"/>
    <mergeCell ref="T95:V95"/>
    <mergeCell ref="W95:AA95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A163:AC163"/>
    <mergeCell ref="A164:AC164"/>
    <mergeCell ref="A165:L165"/>
    <mergeCell ref="M165:O165"/>
    <mergeCell ref="P165:R165"/>
    <mergeCell ref="S165:U165"/>
    <mergeCell ref="V165:Z165"/>
    <mergeCell ref="AA165:AC165"/>
    <mergeCell ref="A166:L166"/>
    <mergeCell ref="M166:O166"/>
    <mergeCell ref="P166:R166"/>
    <mergeCell ref="S166:U166"/>
    <mergeCell ref="V166:Z166"/>
    <mergeCell ref="AA166:AC166"/>
    <mergeCell ref="A167:L167"/>
    <mergeCell ref="M167:O167"/>
    <mergeCell ref="P167:R167"/>
    <mergeCell ref="S167:U167"/>
    <mergeCell ref="V167:Z167"/>
    <mergeCell ref="AA167:AC167"/>
    <mergeCell ref="A168:L168"/>
    <mergeCell ref="M168:O168"/>
    <mergeCell ref="P168:R168"/>
    <mergeCell ref="S168:U168"/>
    <mergeCell ref="V168:Z168"/>
    <mergeCell ref="AA168:AC168"/>
    <mergeCell ref="A169:L169"/>
    <mergeCell ref="M169:O169"/>
    <mergeCell ref="P169:R169"/>
    <mergeCell ref="S169:U169"/>
    <mergeCell ref="V169:Z169"/>
    <mergeCell ref="AA169:AC169"/>
    <mergeCell ref="A170:L170"/>
    <mergeCell ref="M170:O170"/>
    <mergeCell ref="P170:R170"/>
    <mergeCell ref="S170:U170"/>
    <mergeCell ref="V170:Z170"/>
    <mergeCell ref="AA170:AC170"/>
    <mergeCell ref="A171:L171"/>
    <mergeCell ref="M171:O171"/>
    <mergeCell ref="P171:R171"/>
    <mergeCell ref="S171:U171"/>
    <mergeCell ref="V171:Z171"/>
    <mergeCell ref="AA171:AC171"/>
    <mergeCell ref="A172:L172"/>
    <mergeCell ref="M172:O172"/>
    <mergeCell ref="P172:R172"/>
    <mergeCell ref="S172:U172"/>
    <mergeCell ref="V172:Z172"/>
    <mergeCell ref="AA172:AC172"/>
    <mergeCell ref="A173:L173"/>
    <mergeCell ref="M173:O173"/>
    <mergeCell ref="P173:R173"/>
    <mergeCell ref="S173:U173"/>
    <mergeCell ref="V173:Z173"/>
    <mergeCell ref="AA173:AC173"/>
    <mergeCell ref="A174:L174"/>
    <mergeCell ref="M174:O174"/>
    <mergeCell ref="P174:R174"/>
    <mergeCell ref="S174:U174"/>
    <mergeCell ref="V174:Z174"/>
    <mergeCell ref="AA174:AC174"/>
    <mergeCell ref="A175:L175"/>
    <mergeCell ref="M175:O175"/>
    <mergeCell ref="P175:R175"/>
    <mergeCell ref="S175:U175"/>
    <mergeCell ref="V175:Z175"/>
    <mergeCell ref="AA175:AC175"/>
    <mergeCell ref="A176:AC176"/>
    <mergeCell ref="A177:H177"/>
    <mergeCell ref="I177:O177"/>
    <mergeCell ref="P177:T177"/>
    <mergeCell ref="U177:AC177"/>
    <mergeCell ref="A178:H178"/>
    <mergeCell ref="J178:M178"/>
    <mergeCell ref="N178:O178"/>
    <mergeCell ref="Q178:S178"/>
    <mergeCell ref="T178:AC178"/>
    <mergeCell ref="A179:AC179"/>
    <mergeCell ref="A180:H180"/>
    <mergeCell ref="I180:O180"/>
    <mergeCell ref="P180:T180"/>
    <mergeCell ref="U180:AC180"/>
    <mergeCell ref="A181:H181"/>
    <mergeCell ref="J181:M181"/>
    <mergeCell ref="N181:O181"/>
    <mergeCell ref="Q181:S181"/>
    <mergeCell ref="T181:AC181"/>
    <mergeCell ref="A182:AC182"/>
    <mergeCell ref="A183:B183"/>
    <mergeCell ref="C183:H183"/>
    <mergeCell ref="I183:O183"/>
    <mergeCell ref="P183:T183"/>
    <mergeCell ref="U183:AC183"/>
    <mergeCell ref="A185:AC185"/>
    <mergeCell ref="A186:J186"/>
    <mergeCell ref="K186:AC186"/>
    <mergeCell ref="A187:AC187"/>
    <mergeCell ref="A184:B184"/>
    <mergeCell ref="D184:G184"/>
    <mergeCell ref="J184:M184"/>
    <mergeCell ref="N184:O184"/>
    <mergeCell ref="Q184:S184"/>
    <mergeCell ref="T184:AC184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4" r:id="rId1"/>
  <headerFooter alignWithMargins="0">
    <oddFooter>&amp;CСтраница &amp;С из &amp;К</oddFooter>
  </headerFooter>
  <rowBreaks count="2" manualBreakCount="2">
    <brk id="62" max="255" man="1"/>
    <brk id="16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2021-12-09T11:57:03Z</cp:lastPrinted>
  <dcterms:created xsi:type="dcterms:W3CDTF">2021-12-02T11:01:40Z</dcterms:created>
  <dcterms:modified xsi:type="dcterms:W3CDTF">2021-12-09T11:57:08Z</dcterms:modified>
  <cp:category/>
  <cp:version/>
  <cp:contentType/>
  <cp:contentStatus/>
</cp:coreProperties>
</file>